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165" activeTab="1"/>
  </bookViews>
  <sheets>
    <sheet name="Introduction" sheetId="1" r:id="rId1"/>
    <sheet name="Inputs" sheetId="2" r:id="rId2"/>
    <sheet name="Savings Summary" sheetId="3" r:id="rId3"/>
    <sheet name="Savings Detail" sheetId="4" r:id="rId4"/>
    <sheet name="Assumptions" sheetId="5" state="hidden" r:id="rId5"/>
    <sheet name="Calculations" sheetId="6" r:id="rId6"/>
    <sheet name="Code Home" sheetId="7" state="hidden" r:id="rId7"/>
    <sheet name="Energy Star Home" sheetId="8" state="hidden" r:id="rId8"/>
    <sheet name="Savings" sheetId="9" state="hidden" r:id="rId9"/>
  </sheets>
  <externalReferences>
    <externalReference r:id="rId12"/>
    <externalReference r:id="rId13"/>
  </externalReferences>
  <definedNames>
    <definedName name="Beginning_Balance">-FV(Interest_Rate/12,Payment_Number-1,-Monthly_Payment,Loan_Amount)</definedName>
    <definedName name="Ending_Balance">-FV(Interest_Rate/12,Payment_Number,-Monthly_Payment,Loan_Amount)</definedName>
    <definedName name="Header_Row">ROW('[1]Loan Calculator'!$15:$15)</definedName>
    <definedName name="HeatAreaList">OFFSET('[2]Inputs'!$U$5,0,0,COUNTA('[2]Inputs'!$U$5:$U$393),1)</definedName>
    <definedName name="HeatSourceList" localSheetId="1">OFFSET('[2]Inputs'!$X$5,0,0,COUNTA('[2]Inputs'!$X$5:$X$393),1)</definedName>
    <definedName name="Interest">-IPMT(Interest_Rate/12,Payment_Number,Number_of_Payments,Loan_Amount)</definedName>
    <definedName name="Interest_Rate">'Calculations'!$F$6</definedName>
    <definedName name="Last_Row">IF(Values_Entered,Header_Row+Number_of_Payments,Header_Row)</definedName>
    <definedName name="LightingList">OFFSET('[2]Inputs'!$V$5,0,0,COUNTA('[2]Inputs'!$V$5:$V$393),1)</definedName>
    <definedName name="Loan_Amount">'Calculations'!$F$5</definedName>
    <definedName name="Loan_Not_Paid">IF(Payment_Number&lt;=Number_of_Payments,1,0)</definedName>
    <definedName name="Loan_Start">'Calculations'!#REF!</definedName>
    <definedName name="Loan_Years">'Calculations'!#REF!</definedName>
    <definedName name="Location">'Code Home'!$B$4:$B$14</definedName>
    <definedName name="Monthly_Payment">-PMT(Interest_Rate/12,Number_of_Payments,Loan_Amount)</definedName>
    <definedName name="Number_of_Payments">'Calculations'!#REF!</definedName>
    <definedName name="Payment_Date">DATE(YEAR(Loan_Start),MONTH(Loan_Start)+Payment_Number,DAY(Loan_Start))</definedName>
    <definedName name="Payment_Number">ROW()-Header_Row</definedName>
    <definedName name="Principal">-PPMT(Interest_Rate/12,Payment_Number,Number_of_Payments,Loan_Amount)</definedName>
    <definedName name="_xlnm.Print_Area" localSheetId="1">'Inputs'!$A$1:$I$30</definedName>
    <definedName name="_xlnm.Print_Area" localSheetId="0">'Introduction'!$A$1:$Q$39</definedName>
    <definedName name="_xlnm.Print_Area" localSheetId="2">'Savings Summary'!$A$1:$I$38</definedName>
    <definedName name="Total_Cost">'Calculations'!#REF!</definedName>
    <definedName name="Values_Entered">IF(Loan_Amount*Interest_Rate*Loan_Years*Loan_Start&gt;0,1,0)</definedName>
  </definedNames>
  <calcPr fullCalcOnLoad="1"/>
</workbook>
</file>

<file path=xl/sharedStrings.xml><?xml version="1.0" encoding="utf-8"?>
<sst xmlns="http://schemas.openxmlformats.org/spreadsheetml/2006/main" count="673" uniqueCount="237">
  <si>
    <t>Home Details:</t>
  </si>
  <si>
    <t>Floor Area:</t>
  </si>
  <si>
    <t>Square Feet</t>
  </si>
  <si>
    <t>Code Home</t>
  </si>
  <si>
    <t>Energy Star Home</t>
  </si>
  <si>
    <t>Location:</t>
  </si>
  <si>
    <t>Portland</t>
  </si>
  <si>
    <t>Current Monthly Gas Bill:</t>
  </si>
  <si>
    <t>Heat Source:</t>
  </si>
  <si>
    <t>Gas Furnace</t>
  </si>
  <si>
    <t>Current Monthly Electric Bill:</t>
  </si>
  <si>
    <t>Yes</t>
  </si>
  <si>
    <t>Additional Monthly Mortgage</t>
  </si>
  <si>
    <t>ENERGY STAR Assumptions:</t>
  </si>
  <si>
    <t>Current Monthly Energy Savings</t>
  </si>
  <si>
    <t>Upgrade Cost:</t>
  </si>
  <si>
    <t>Energy Cost Assumptions:</t>
  </si>
  <si>
    <t>Notes:</t>
  </si>
  <si>
    <t>Mortgage Interest Rate:</t>
  </si>
  <si>
    <t xml:space="preserve"> * ENERGY STAR Gas furnace spec is 90 AFUE.  Code is 80 AFUE.</t>
  </si>
  <si>
    <t>Mortgage Term:</t>
  </si>
  <si>
    <t>Years</t>
  </si>
  <si>
    <t>Current Gas Cost:</t>
  </si>
  <si>
    <t>$/Therm</t>
  </si>
  <si>
    <t>Current Electricity Cost:</t>
  </si>
  <si>
    <t>$/kWh</t>
  </si>
  <si>
    <t>Gas Monthly Fees:</t>
  </si>
  <si>
    <t>$/month</t>
  </si>
  <si>
    <t>Electricity Monthly Fees:</t>
  </si>
  <si>
    <t>Annual Gas % Increase:</t>
  </si>
  <si>
    <t>Annual Electricity % Increase:</t>
  </si>
  <si>
    <t>Number of Years to Calculate:</t>
  </si>
  <si>
    <t>No</t>
  </si>
  <si>
    <t>Heat Pump</t>
  </si>
  <si>
    <t>ENERGY STAR® Homes Northwest: Calculator Instructions - Assumptions</t>
  </si>
  <si>
    <t>Inputs are cells in "Calculations" tab highlighted in Yellow.  Use pull downs or input numbers</t>
  </si>
  <si>
    <t>Three homes were modeled using REM/Rate:</t>
  </si>
  <si>
    <t>1219 Square Feet/1 Story</t>
  </si>
  <si>
    <t>2719 Square Feet/2 Stories</t>
  </si>
  <si>
    <t>Montana homes modeled with conditioned basement</t>
  </si>
  <si>
    <t>3159 Square Feet/2 Stories</t>
  </si>
  <si>
    <t>Energy use is interpolated or extrapolated between the three energy use models</t>
  </si>
  <si>
    <t>Heat Pump Commissioining savings calculated at 8.1% of the Code heating load.  (Conservative number based on email from Bob Davis)</t>
  </si>
  <si>
    <t>Code Building</t>
  </si>
  <si>
    <t>Floor Insulation R-Value</t>
  </si>
  <si>
    <t>Wall Insulation R- Value</t>
  </si>
  <si>
    <t>Ceiling Insulation</t>
  </si>
  <si>
    <t>Window U- Value</t>
  </si>
  <si>
    <t>Window Area</t>
  </si>
  <si>
    <t>Duct Leakage</t>
  </si>
  <si>
    <t>Envelope Tightness</t>
  </si>
  <si>
    <t>Mechanical Ventilation</t>
  </si>
  <si>
    <t>Furnace AFUE</t>
  </si>
  <si>
    <t>HSPF</t>
  </si>
  <si>
    <t>SEER</t>
  </si>
  <si>
    <t>H2O EF</t>
  </si>
  <si>
    <t>CFLs</t>
  </si>
  <si>
    <t>Dishwasher EF</t>
  </si>
  <si>
    <t>16-17.7%</t>
  </si>
  <si>
    <t>0.20CFM50/sqft</t>
  </si>
  <si>
    <t>7.5 ACH50</t>
  </si>
  <si>
    <t>0.58/0.89</t>
  </si>
  <si>
    <t>Medford</t>
  </si>
  <si>
    <t>Redmond</t>
  </si>
  <si>
    <t>Seattle</t>
  </si>
  <si>
    <t>Spokane</t>
  </si>
  <si>
    <t>Yakima</t>
  </si>
  <si>
    <t>Boise</t>
  </si>
  <si>
    <t>Pocatello</t>
  </si>
  <si>
    <t>Helena</t>
  </si>
  <si>
    <t>Missoula</t>
  </si>
  <si>
    <t>Billings</t>
  </si>
  <si>
    <t xml:space="preserve">Note: </t>
  </si>
  <si>
    <t>Larger homes in Montana were modeled with conditioned basements.  This was assumed to reduce duct leakage by 33%.</t>
  </si>
  <si>
    <t>Energy Star Building</t>
  </si>
  <si>
    <t>0.06CFM50/sqft</t>
  </si>
  <si>
    <t>7.0 ACH50</t>
  </si>
  <si>
    <t>0.61/0.93</t>
  </si>
  <si>
    <t>ENERGY STAR® Homes Northwest: Calculations</t>
  </si>
  <si>
    <t>Low Range with AC</t>
  </si>
  <si>
    <t>High Range With AC</t>
  </si>
  <si>
    <t>Low Range No AC</t>
  </si>
  <si>
    <t>High Range No AC</t>
  </si>
  <si>
    <t>Low Range HP</t>
  </si>
  <si>
    <t>High Range HP</t>
  </si>
  <si>
    <t>Floor Area</t>
  </si>
  <si>
    <t>Therms</t>
  </si>
  <si>
    <t>kWh</t>
  </si>
  <si>
    <t>kwh</t>
  </si>
  <si>
    <t>Location</t>
  </si>
  <si>
    <t>Heat Source</t>
  </si>
  <si>
    <t>Air Conditioning?</t>
  </si>
  <si>
    <t>Upgrade Cost</t>
  </si>
  <si>
    <t>Mortgage Interest Rate</t>
  </si>
  <si>
    <t>Mortgage Term</t>
  </si>
  <si>
    <t>Current Gas Cost</t>
  </si>
  <si>
    <t>Current Electricity Cost</t>
  </si>
  <si>
    <t>Gas Monthly Fees</t>
  </si>
  <si>
    <t>Electricity Monthly Fees</t>
  </si>
  <si>
    <t>Annual Gas % Increase</t>
  </si>
  <si>
    <t>Annual Electricity % Increase</t>
  </si>
  <si>
    <t>Total</t>
  </si>
  <si>
    <t>Number of Years to Calculate</t>
  </si>
  <si>
    <t>Yearly Cost Savings</t>
  </si>
  <si>
    <t>Monthly Cost Savings</t>
  </si>
  <si>
    <t>Current Annual Gas Bill</t>
  </si>
  <si>
    <t>Current Monthly Gas Bill</t>
  </si>
  <si>
    <t>Current Annual Electric Bill</t>
  </si>
  <si>
    <t>Current Monthly Electric Bill</t>
  </si>
  <si>
    <t>n</t>
  </si>
  <si>
    <t>1+r/12</t>
  </si>
  <si>
    <t>r/12</t>
  </si>
  <si>
    <t>D num</t>
  </si>
  <si>
    <t>D den</t>
  </si>
  <si>
    <t>D</t>
  </si>
  <si>
    <t>P=A/D</t>
  </si>
  <si>
    <t>Heating (Therms)</t>
  </si>
  <si>
    <t>Heating (kWh)</t>
  </si>
  <si>
    <t>Cooling (kWh)</t>
  </si>
  <si>
    <t>Water Heating (Therms)</t>
  </si>
  <si>
    <t>Lights &amp; Appliances (Therms)</t>
  </si>
  <si>
    <t>Lights &amp; Appliances (kWh)</t>
  </si>
  <si>
    <t>Total Therms</t>
  </si>
  <si>
    <t>Total kWh</t>
  </si>
  <si>
    <t>Small Range Therms</t>
  </si>
  <si>
    <t>Small Range kwh</t>
  </si>
  <si>
    <t>Small Range kWh No AC</t>
  </si>
  <si>
    <t>Large Range Therms</t>
  </si>
  <si>
    <t>Large Range kWh</t>
  </si>
  <si>
    <t>Large Range kWh No AC</t>
  </si>
  <si>
    <t xml:space="preserve">HP Small Range kWh </t>
  </si>
  <si>
    <t>HP Large Range kWh</t>
  </si>
  <si>
    <t>therm</t>
  </si>
  <si>
    <t>HEAT PUMP</t>
  </si>
  <si>
    <t>Water Heating (kWh)</t>
  </si>
  <si>
    <t>Heat Pumps</t>
  </si>
  <si>
    <t>Commissioning</t>
  </si>
  <si>
    <t>ENERGY STAR® Homes Northwest: Savings</t>
  </si>
  <si>
    <t>Heating CX</t>
  </si>
  <si>
    <t>Energy Savings Summary:</t>
  </si>
  <si>
    <t>ENERGY STAR® Homes Northwest: Code Home Analysis</t>
  </si>
  <si>
    <t>ENERGY STAR® Homes Northwest: Energy Star Home Analysis</t>
  </si>
  <si>
    <t>HEAT PUMPS</t>
  </si>
  <si>
    <t>ENERGY STAR Home</t>
  </si>
  <si>
    <t>Additional Monthly Mortgage:</t>
  </si>
  <si>
    <t>Current Monthly Energy Savings:</t>
  </si>
  <si>
    <t>Average Monthly Energy Savings Over Next 5 Years:</t>
  </si>
  <si>
    <t>Air Conditioning:</t>
  </si>
  <si>
    <t xml:space="preserve">Savings Calculator        </t>
  </si>
  <si>
    <r>
      <t>ENERGY STAR</t>
    </r>
    <r>
      <rPr>
        <b/>
        <vertAlign val="superscript"/>
        <sz val="18"/>
        <color indexed="9"/>
        <rFont val="Century Gothic"/>
        <family val="2"/>
      </rPr>
      <t>®</t>
    </r>
    <r>
      <rPr>
        <b/>
        <sz val="18"/>
        <color indexed="9"/>
        <rFont val="Century Gothic"/>
        <family val="2"/>
      </rPr>
      <t xml:space="preserve"> Homes Northwest             </t>
    </r>
    <r>
      <rPr>
        <b/>
        <sz val="12"/>
        <color indexed="9"/>
        <rFont val="Century Gothic"/>
        <family val="2"/>
      </rPr>
      <t xml:space="preserve">  </t>
    </r>
    <r>
      <rPr>
        <b/>
        <sz val="18"/>
        <color indexed="9"/>
        <rFont val="Century Gothic"/>
        <family val="2"/>
      </rPr>
      <t xml:space="preserve">                                                                                                                                                                                                                                                                                                                                     </t>
    </r>
  </si>
  <si>
    <t xml:space="preserve">Version 2.0 - October 2006      </t>
  </si>
  <si>
    <t xml:space="preserve"> * ENERGY STAR AC spec is 13 SEER.  Code is 13 SEER.</t>
  </si>
  <si>
    <t>$/Month</t>
  </si>
  <si>
    <r>
      <t>Welcome to the ENERGY STAR</t>
    </r>
    <r>
      <rPr>
        <b/>
        <vertAlign val="superscript"/>
        <sz val="20"/>
        <color indexed="9"/>
        <rFont val="Tw Cen MT"/>
        <family val="2"/>
      </rPr>
      <t>®</t>
    </r>
    <r>
      <rPr>
        <b/>
        <sz val="20"/>
        <color indexed="9"/>
        <rFont val="Tw Cen MT"/>
        <family val="2"/>
      </rPr>
      <t xml:space="preserve"> Homes Northwest Savings Calculator </t>
    </r>
  </si>
  <si>
    <t>About:</t>
  </si>
  <si>
    <t>An ENERGY STAR qualified home features:</t>
  </si>
  <si>
    <t>• Tight duct systems tested for performance</t>
  </si>
  <si>
    <t>• High Efficiency heating &amp; cooling equipment</t>
  </si>
  <si>
    <t>• ENERGY STAR qualified lighting</t>
  </si>
  <si>
    <t>• ENERGY STAR qualified windows</t>
  </si>
  <si>
    <t>• Increased insulation</t>
  </si>
  <si>
    <t>• High Efficiency water heating equipment</t>
  </si>
  <si>
    <t>• Independent third-party certification</t>
  </si>
  <si>
    <t>Instructions:</t>
  </si>
  <si>
    <t>Additional worksheets have been hidden to make the calculator more user friendly.  The following tabs may be unhidden for supplementary information:</t>
  </si>
  <si>
    <r>
      <t xml:space="preserve">• </t>
    </r>
    <r>
      <rPr>
        <b/>
        <sz val="12"/>
        <color indexed="9"/>
        <rFont val="Tw Cen MT"/>
        <family val="2"/>
      </rPr>
      <t>Code Home</t>
    </r>
    <r>
      <rPr>
        <sz val="12"/>
        <color indexed="9"/>
        <rFont val="Tw Cen MT"/>
        <family val="2"/>
      </rPr>
      <t xml:space="preserve"> - lists the energy usage results based on a standard, code home</t>
    </r>
  </si>
  <si>
    <r>
      <t xml:space="preserve">• </t>
    </r>
    <r>
      <rPr>
        <b/>
        <sz val="12"/>
        <color indexed="9"/>
        <rFont val="Tw Cen MT"/>
        <family val="2"/>
      </rPr>
      <t>Energy Star Home</t>
    </r>
    <r>
      <rPr>
        <sz val="12"/>
        <color indexed="9"/>
        <rFont val="Tw Cen MT"/>
        <family val="2"/>
      </rPr>
      <t xml:space="preserve"> - lists the energy usage results based on an ENERGY STAR home</t>
    </r>
  </si>
  <si>
    <r>
      <t>The "</t>
    </r>
    <r>
      <rPr>
        <b/>
        <sz val="12"/>
        <color indexed="9"/>
        <rFont val="Tw Cen MT"/>
        <family val="2"/>
      </rPr>
      <t>Inputs</t>
    </r>
    <r>
      <rPr>
        <sz val="12"/>
        <color indexed="9"/>
        <rFont val="Tw Cen MT"/>
        <family val="2"/>
      </rPr>
      <t>" tab provides a template where the user can input criteria based on a modeled ENERGY STAR home. Only those cells shaded in gray can be changed.</t>
    </r>
  </si>
  <si>
    <t>Additional Information:</t>
  </si>
  <si>
    <t>To learn more about the benefits of an ENERGY STAR home, visit:</t>
  </si>
  <si>
    <t>www.NorthwestENERGYSTAR.com</t>
  </si>
  <si>
    <t>The ENERGY STAR Homes Northwest Savings Calculator allows the user to determine savings achieved when choosing an ENERGY STAR home.</t>
  </si>
  <si>
    <r>
      <t xml:space="preserve">• </t>
    </r>
    <r>
      <rPr>
        <b/>
        <sz val="12"/>
        <color indexed="9"/>
        <rFont val="Tw Cen MT"/>
        <family val="2"/>
      </rPr>
      <t>Assumptions</t>
    </r>
    <r>
      <rPr>
        <sz val="12"/>
        <color indexed="9"/>
        <rFont val="Tw Cen MT"/>
        <family val="2"/>
      </rPr>
      <t xml:space="preserve"> - lists the assumptions made when creating the calculator model (i.e. furnace ratings, duct leakage percent, insulation R-Value, etc.)</t>
    </r>
  </si>
  <si>
    <r>
      <t xml:space="preserve">• </t>
    </r>
    <r>
      <rPr>
        <b/>
        <sz val="12"/>
        <color indexed="9"/>
        <rFont val="Tw Cen MT"/>
        <family val="2"/>
      </rPr>
      <t>Calculations</t>
    </r>
    <r>
      <rPr>
        <sz val="12"/>
        <color indexed="9"/>
        <rFont val="Tw Cen MT"/>
        <family val="2"/>
      </rPr>
      <t xml:space="preserve"> - lists the calculations used to create the calculator results</t>
    </r>
  </si>
  <si>
    <t>An ENERGY STAR qualified home provides you with better performance:</t>
  </si>
  <si>
    <t>Lower Energy Costs*</t>
  </si>
  <si>
    <t>average energy savings per month (over the next 5 years)</t>
  </si>
  <si>
    <t>Good  Investment</t>
  </si>
  <si>
    <t>in energy savings per month</t>
  </si>
  <si>
    <t>mortgage increase per month</t>
  </si>
  <si>
    <t>=</t>
  </si>
  <si>
    <t>net savings per month</t>
  </si>
  <si>
    <t>net savings over the next 5 years</t>
  </si>
  <si>
    <t>*  Savings data is based on ENERGY STAR improvements over local code and is an estimate based on historical data.  
    Actual savings will vary based on home owner heating and cooling preferences and actual temperatures.</t>
  </si>
  <si>
    <t>Home Assumptions:</t>
  </si>
  <si>
    <t>City:</t>
  </si>
  <si>
    <t>AC:</t>
  </si>
  <si>
    <t>  </t>
  </si>
  <si>
    <t>Energy Savings (per year)</t>
  </si>
  <si>
    <t>Electricity (kwh)</t>
  </si>
  <si>
    <t>Natural Gas (therms)</t>
  </si>
  <si>
    <t>5 Year</t>
  </si>
  <si>
    <t>10 Year</t>
  </si>
  <si>
    <t>Mortgate Life</t>
  </si>
  <si>
    <t>Year 1</t>
  </si>
  <si>
    <t>Year 2</t>
  </si>
  <si>
    <t>Year 3</t>
  </si>
  <si>
    <t>Year 4</t>
  </si>
  <si>
    <t>Year 5</t>
  </si>
  <si>
    <t>Year 6</t>
  </si>
  <si>
    <t>Year 7</t>
  </si>
  <si>
    <t>Year 8</t>
  </si>
  <si>
    <t>Year 9</t>
  </si>
  <si>
    <t>Year 10</t>
  </si>
  <si>
    <t>Electricity</t>
  </si>
  <si>
    <t>Natural Gas</t>
  </si>
  <si>
    <t>Assumptions:</t>
  </si>
  <si>
    <t>City</t>
  </si>
  <si>
    <t>Natural Gas Cost (per therm)</t>
  </si>
  <si>
    <t>Electricity Cost (per kwh)</t>
  </si>
  <si>
    <t>Gas escalation</t>
  </si>
  <si>
    <t>Electricity escalation</t>
  </si>
  <si>
    <t>Mortgage Increase:</t>
  </si>
  <si>
    <t>Per Year</t>
  </si>
  <si>
    <t>Per month</t>
  </si>
  <si>
    <t>Interest Rate</t>
  </si>
  <si>
    <t>Original Price</t>
  </si>
  <si>
    <t>ENERGY STAR Features</t>
  </si>
  <si>
    <t>Loan Term (years)</t>
  </si>
  <si>
    <t>Total Savings ($ per year)</t>
  </si>
  <si>
    <t>Energy Savings</t>
  </si>
  <si>
    <t>Mortgage Increase</t>
  </si>
  <si>
    <t>Mortgage Amount:</t>
  </si>
  <si>
    <t>Energy Savings (per year) Heat Pump</t>
  </si>
  <si>
    <t>in average energy savings over the next 5 years</t>
  </si>
  <si>
    <t>Home Size (Sq. Ft):</t>
  </si>
  <si>
    <r>
      <t xml:space="preserve">                               ENERGY STAR</t>
    </r>
    <r>
      <rPr>
        <b/>
        <vertAlign val="superscript"/>
        <sz val="18"/>
        <color indexed="9"/>
        <rFont val="Century Gothic"/>
        <family val="2"/>
      </rPr>
      <t>®</t>
    </r>
    <r>
      <rPr>
        <b/>
        <sz val="18"/>
        <color indexed="9"/>
        <rFont val="Century Gothic"/>
        <family val="2"/>
      </rPr>
      <t xml:space="preserve"> Homes Northwest             </t>
    </r>
    <r>
      <rPr>
        <b/>
        <sz val="12"/>
        <color indexed="9"/>
        <rFont val="Century Gothic"/>
        <family val="2"/>
      </rPr>
      <t xml:space="preserve">  </t>
    </r>
    <r>
      <rPr>
        <b/>
        <sz val="18"/>
        <color indexed="9"/>
        <rFont val="Century Gothic"/>
        <family val="2"/>
      </rPr>
      <t xml:space="preserve">                                                                                                                                                                                                                                                                                                                                     </t>
    </r>
  </si>
  <si>
    <t xml:space="preserve">                                         Savings Summary    </t>
  </si>
  <si>
    <t xml:space="preserve">                                                                        Version 2.0 - October 2006      </t>
  </si>
  <si>
    <t xml:space="preserve">                              ENERGY STAR® Homes Northwest</t>
  </si>
  <si>
    <t xml:space="preserve">                                            Savings Detail</t>
  </si>
  <si>
    <t xml:space="preserve">                                                                        Version 2.0 - October 2006 </t>
  </si>
  <si>
    <r>
      <t>The "</t>
    </r>
    <r>
      <rPr>
        <b/>
        <sz val="12"/>
        <color indexed="9"/>
        <rFont val="Tw Cen MT"/>
        <family val="2"/>
      </rPr>
      <t>Savings Summary</t>
    </r>
    <r>
      <rPr>
        <sz val="12"/>
        <color indexed="9"/>
        <rFont val="Tw Cen MT"/>
        <family val="2"/>
      </rPr>
      <t>" tab highlights the Net savings over a five year time period</t>
    </r>
  </si>
  <si>
    <r>
      <t>The "</t>
    </r>
    <r>
      <rPr>
        <b/>
        <sz val="12"/>
        <color indexed="9"/>
        <rFont val="Tw Cen MT"/>
        <family val="2"/>
      </rPr>
      <t>Savings Detail</t>
    </r>
    <r>
      <rPr>
        <sz val="12"/>
        <color indexed="9"/>
        <rFont val="Tw Cen MT"/>
        <family val="2"/>
      </rPr>
      <t>" tab highlights energy savings and net savings per year up to the end of a mortgage time cycle</t>
    </r>
  </si>
  <si>
    <t>Annual Therm Use</t>
  </si>
  <si>
    <t>Annual kWh Use</t>
  </si>
  <si>
    <t xml:space="preserve"> * ENERGY STAR Heat Pump spec is 8.5 HSPF and 13 SEER.  Code is 7.7 HSPF and 13 SEER.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</si>
</sst>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_);\(#,##0.000\)"/>
    <numFmt numFmtId="169" formatCode="#,##0.0_);\(#,##0.0\)"/>
    <numFmt numFmtId="170" formatCode="_(&quot;$&quot;* #,##0.000_);_(&quot;$&quot;* \(#,##0.000\);_(&quot;$&quot;* &quot;-&quot;??_);_(@_)"/>
    <numFmt numFmtId="171" formatCode="&quot;$&quot;#,##0"/>
    <numFmt numFmtId="172" formatCode="&quot;$&quot;#,##0.00"/>
    <numFmt numFmtId="173" formatCode="0.0"/>
    <numFmt numFmtId="174" formatCode="&quot;$&quot;\ \-"/>
    <numFmt numFmtId="175" formatCode="_(&quot;$&quot;* #,##0_);_(&quot;$&quot;* \(#,##0\);_(&quot;$&quot;* &quot;-&quot;??_);_(@_)"/>
    <numFmt numFmtId="176" formatCode="_(&quot;$&quot;* #,##0.0_);_(&quot;$&quot;* \(#,##0.0\);_(&quot;$&quot;* &quot;-&quot;??_);_(@_)"/>
    <numFmt numFmtId="177" formatCode="&quot;$&quot;#,##0.0"/>
    <numFmt numFmtId="178" formatCode="#,##0.0"/>
  </numFmts>
  <fonts count="30">
    <font>
      <sz val="10"/>
      <name val="Arial"/>
      <family val="0"/>
    </font>
    <font>
      <u val="single"/>
      <sz val="10"/>
      <color indexed="12"/>
      <name val="Arial"/>
      <family val="0"/>
    </font>
    <font>
      <u val="single"/>
      <sz val="10"/>
      <color indexed="25"/>
      <name val="Arial"/>
      <family val="0"/>
    </font>
    <font>
      <b/>
      <sz val="18"/>
      <color indexed="9"/>
      <name val="Century Gothic"/>
      <family val="2"/>
    </font>
    <font>
      <sz val="18"/>
      <name val="Arial"/>
      <family val="0"/>
    </font>
    <font>
      <b/>
      <sz val="16"/>
      <color indexed="9"/>
      <name val="Tw Cen MT"/>
      <family val="2"/>
    </font>
    <font>
      <sz val="16"/>
      <color indexed="9"/>
      <name val="Tw Cen MT"/>
      <family val="2"/>
    </font>
    <font>
      <b/>
      <sz val="10"/>
      <name val="Arial"/>
      <family val="2"/>
    </font>
    <font>
      <b/>
      <sz val="10"/>
      <color indexed="9"/>
      <name val="Tw Cen MT"/>
      <family val="2"/>
    </font>
    <font>
      <sz val="10"/>
      <color indexed="9"/>
      <name val="Arial"/>
      <family val="0"/>
    </font>
    <font>
      <sz val="12"/>
      <color indexed="9"/>
      <name val="Tw Cen MT"/>
      <family val="2"/>
    </font>
    <font>
      <b/>
      <sz val="10"/>
      <color indexed="9"/>
      <name val="Arial"/>
      <family val="2"/>
    </font>
    <font>
      <b/>
      <sz val="12"/>
      <color indexed="9"/>
      <name val="Tw Cen MT"/>
      <family val="2"/>
    </font>
    <font>
      <sz val="10"/>
      <color indexed="10"/>
      <name val="Arial"/>
      <family val="0"/>
    </font>
    <font>
      <b/>
      <sz val="10"/>
      <color indexed="10"/>
      <name val="Tw Cen MT"/>
      <family val="2"/>
    </font>
    <font>
      <sz val="12"/>
      <color indexed="10"/>
      <name val="Tw Cen MT"/>
      <family val="2"/>
    </font>
    <font>
      <b/>
      <vertAlign val="superscript"/>
      <sz val="18"/>
      <color indexed="9"/>
      <name val="Century Gothic"/>
      <family val="2"/>
    </font>
    <font>
      <b/>
      <sz val="12"/>
      <color indexed="9"/>
      <name val="Century Gothic"/>
      <family val="2"/>
    </font>
    <font>
      <b/>
      <sz val="11"/>
      <color indexed="9"/>
      <name val="Tw Cen MT"/>
      <family val="2"/>
    </font>
    <font>
      <b/>
      <sz val="11"/>
      <name val="Arial"/>
      <family val="0"/>
    </font>
    <font>
      <b/>
      <sz val="20"/>
      <color indexed="9"/>
      <name val="Tw Cen MT"/>
      <family val="2"/>
    </font>
    <font>
      <b/>
      <vertAlign val="superscript"/>
      <sz val="20"/>
      <color indexed="9"/>
      <name val="Tw Cen MT"/>
      <family val="2"/>
    </font>
    <font>
      <b/>
      <u val="single"/>
      <sz val="14"/>
      <color indexed="9"/>
      <name val="Tw Cen MT"/>
      <family val="2"/>
    </font>
    <font>
      <u val="single"/>
      <sz val="10"/>
      <name val="Arial"/>
      <family val="0"/>
    </font>
    <font>
      <b/>
      <i/>
      <sz val="12"/>
      <color indexed="9"/>
      <name val="Tw Cen MT"/>
      <family val="2"/>
    </font>
    <font>
      <sz val="10"/>
      <color indexed="9"/>
      <name val="Tw Cen MT"/>
      <family val="2"/>
    </font>
    <font>
      <sz val="1"/>
      <color indexed="9"/>
      <name val="Arial"/>
      <family val="0"/>
    </font>
    <font>
      <b/>
      <i/>
      <sz val="10"/>
      <color indexed="9"/>
      <name val="Tw Cen MT"/>
      <family val="2"/>
    </font>
    <font>
      <b/>
      <sz val="12"/>
      <name val="Arial"/>
      <family val="0"/>
    </font>
    <font>
      <b/>
      <sz val="18"/>
      <name val="Century Gothic"/>
      <family val="2"/>
    </font>
  </fonts>
  <fills count="5">
    <fill>
      <patternFill/>
    </fill>
    <fill>
      <patternFill patternType="gray125"/>
    </fill>
    <fill>
      <patternFill patternType="solid">
        <fgColor indexed="16"/>
        <bgColor indexed="64"/>
      </patternFill>
    </fill>
    <fill>
      <patternFill patternType="solid">
        <fgColor indexed="53"/>
        <bgColor indexed="64"/>
      </patternFill>
    </fill>
    <fill>
      <patternFill patternType="solid">
        <fgColor indexed="55"/>
        <bgColor indexed="64"/>
      </patternFill>
    </fill>
  </fills>
  <borders count="34">
    <border>
      <left/>
      <right/>
      <top/>
      <bottom/>
      <diagonal/>
    </border>
    <border>
      <left>
        <color indexed="63"/>
      </left>
      <right style="medium">
        <color indexed="9"/>
      </right>
      <top style="medium">
        <color indexed="9"/>
      </top>
      <bottom style="medium">
        <color indexed="9"/>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color indexed="9"/>
      </bottom>
    </border>
    <border>
      <left style="medium">
        <color indexed="9"/>
      </left>
      <right style="medium">
        <color indexed="9"/>
      </right>
      <top style="medium">
        <color indexed="9"/>
      </top>
      <bottom>
        <color indexed="63"/>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color indexed="63"/>
      </left>
      <right>
        <color indexed="63"/>
      </right>
      <top style="medium">
        <color indexed="9"/>
      </top>
      <bottom>
        <color indexed="63"/>
      </bottom>
    </border>
    <border>
      <left>
        <color indexed="63"/>
      </left>
      <right style="medium">
        <color indexed="9"/>
      </right>
      <top>
        <color indexed="63"/>
      </top>
      <bottom style="medium">
        <color indexed="9"/>
      </bottom>
    </border>
    <border>
      <left style="thin">
        <color indexed="9"/>
      </left>
      <right>
        <color indexed="63"/>
      </right>
      <top>
        <color indexed="63"/>
      </top>
      <bottom>
        <color indexed="63"/>
      </bottom>
    </border>
    <border>
      <left>
        <color indexed="63"/>
      </left>
      <right style="thin">
        <color indexed="9"/>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medium">
        <color indexed="9"/>
      </left>
      <right>
        <color indexed="63"/>
      </right>
      <top>
        <color indexed="63"/>
      </top>
      <bottom style="thin">
        <color indexed="9"/>
      </bottom>
    </border>
    <border>
      <left style="medium">
        <color indexed="9"/>
      </left>
      <right>
        <color indexed="63"/>
      </right>
      <top style="thin">
        <color indexed="9"/>
      </top>
      <bottom>
        <color indexed="63"/>
      </bottom>
    </border>
    <border>
      <left style="medium">
        <color indexed="9"/>
      </left>
      <right style="thin">
        <color indexed="9"/>
      </right>
      <top>
        <color indexed="63"/>
      </top>
      <bottom style="medium">
        <color indexed="9"/>
      </bottom>
    </border>
    <border>
      <left style="medium">
        <color indexed="9"/>
      </left>
      <right style="thin">
        <color indexed="9"/>
      </right>
      <top style="thin">
        <color indexed="9"/>
      </top>
      <bottom style="thin">
        <color indexed="9"/>
      </bottom>
    </border>
    <border>
      <left style="medium">
        <color indexed="9"/>
      </left>
      <right style="thin">
        <color indexed="9"/>
      </right>
      <top>
        <color indexed="63"/>
      </top>
      <bottom style="thin">
        <color indexed="9"/>
      </bottom>
    </border>
    <border>
      <left style="medium">
        <color indexed="9"/>
      </left>
      <right style="thin">
        <color indexed="9"/>
      </right>
      <top style="thin">
        <color indexed="9"/>
      </top>
      <bottom>
        <color indexed="63"/>
      </bottom>
    </border>
    <border>
      <left>
        <color indexed="63"/>
      </left>
      <right style="thin">
        <color indexed="9"/>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medium">
        <color indexed="9"/>
      </bottom>
    </border>
    <border>
      <left style="medium">
        <color indexed="9"/>
      </left>
      <right>
        <color indexed="63"/>
      </right>
      <top style="thin">
        <color indexed="9"/>
      </top>
      <bottom style="thin">
        <color indexed="9"/>
      </bottom>
    </border>
    <border>
      <left>
        <color indexed="63"/>
      </left>
      <right>
        <color indexed="63"/>
      </right>
      <top style="thin">
        <color indexed="9"/>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12">
    <xf numFmtId="0" fontId="0" fillId="0" borderId="0" xfId="0" applyAlignment="1">
      <alignment/>
    </xf>
    <xf numFmtId="0" fontId="0" fillId="2" borderId="0" xfId="0" applyFill="1" applyAlignment="1">
      <alignment/>
    </xf>
    <xf numFmtId="0" fontId="10" fillId="2" borderId="0" xfId="0" applyFont="1" applyFill="1" applyAlignment="1">
      <alignment/>
    </xf>
    <xf numFmtId="0" fontId="0" fillId="0" borderId="0" xfId="0" applyAlignment="1">
      <alignment wrapText="1"/>
    </xf>
    <xf numFmtId="0" fontId="0" fillId="0" borderId="1" xfId="0" applyBorder="1" applyAlignment="1">
      <alignment wrapText="1"/>
    </xf>
    <xf numFmtId="0" fontId="11" fillId="0" borderId="0" xfId="0" applyFont="1" applyAlignment="1">
      <alignment/>
    </xf>
    <xf numFmtId="0" fontId="11" fillId="0" borderId="0" xfId="0" applyFont="1" applyAlignment="1">
      <alignment wrapText="1"/>
    </xf>
    <xf numFmtId="0" fontId="0" fillId="0" borderId="2" xfId="0" applyBorder="1" applyAlignment="1">
      <alignment wrapText="1"/>
    </xf>
    <xf numFmtId="0" fontId="0" fillId="0" borderId="3" xfId="0" applyBorder="1" applyAlignment="1">
      <alignment wrapText="1"/>
    </xf>
    <xf numFmtId="0" fontId="0" fillId="0" borderId="2" xfId="0" applyBorder="1" applyAlignment="1">
      <alignment/>
    </xf>
    <xf numFmtId="0" fontId="0" fillId="0" borderId="0" xfId="0" applyAlignment="1">
      <alignment/>
    </xf>
    <xf numFmtId="0" fontId="11" fillId="2" borderId="4" xfId="0" applyFont="1" applyFill="1" applyBorder="1" applyAlignment="1">
      <alignment/>
    </xf>
    <xf numFmtId="37" fontId="11" fillId="2" borderId="2" xfId="17" applyNumberFormat="1" applyFont="1" applyFill="1" applyBorder="1" applyAlignment="1">
      <alignment/>
    </xf>
    <xf numFmtId="9" fontId="11" fillId="2" borderId="2" xfId="21" applyFont="1" applyFill="1" applyBorder="1" applyAlignment="1">
      <alignment/>
    </xf>
    <xf numFmtId="39" fontId="11" fillId="2" borderId="2" xfId="17" applyNumberFormat="1" applyFont="1" applyFill="1" applyBorder="1" applyAlignment="1">
      <alignment/>
    </xf>
    <xf numFmtId="168" fontId="11" fillId="2" borderId="2" xfId="17" applyNumberFormat="1" applyFont="1" applyFill="1" applyBorder="1" applyAlignment="1">
      <alignment/>
    </xf>
    <xf numFmtId="169" fontId="11" fillId="2" borderId="2" xfId="17" applyNumberFormat="1" applyFont="1" applyFill="1" applyBorder="1" applyAlignment="1">
      <alignment/>
    </xf>
    <xf numFmtId="37" fontId="11" fillId="2" borderId="3" xfId="17" applyNumberFormat="1" applyFont="1" applyFill="1" applyBorder="1" applyAlignment="1">
      <alignment/>
    </xf>
    <xf numFmtId="1" fontId="11" fillId="0" borderId="0" xfId="0" applyNumberFormat="1" applyFont="1" applyAlignment="1">
      <alignment/>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6" xfId="0" applyFont="1" applyFill="1" applyBorder="1" applyAlignment="1">
      <alignment horizontal="center" wrapText="1"/>
    </xf>
    <xf numFmtId="0" fontId="11" fillId="2" borderId="7" xfId="0" applyFont="1" applyFill="1" applyBorder="1" applyAlignment="1">
      <alignment/>
    </xf>
    <xf numFmtId="0" fontId="11" fillId="2" borderId="0" xfId="0" applyFont="1" applyFill="1" applyAlignment="1">
      <alignment/>
    </xf>
    <xf numFmtId="0" fontId="11" fillId="2" borderId="0" xfId="0" applyFont="1" applyFill="1" applyAlignment="1">
      <alignment wrapText="1"/>
    </xf>
    <xf numFmtId="0" fontId="11" fillId="2" borderId="0" xfId="0" applyFont="1" applyFill="1" applyAlignment="1">
      <alignment/>
    </xf>
    <xf numFmtId="0" fontId="11" fillId="2" borderId="7" xfId="0" applyFont="1" applyFill="1" applyBorder="1" applyAlignment="1">
      <alignment horizontal="center"/>
    </xf>
    <xf numFmtId="0" fontId="11" fillId="2" borderId="0" xfId="0" applyFont="1" applyFill="1" applyAlignment="1">
      <alignment horizontal="center"/>
    </xf>
    <xf numFmtId="0" fontId="11" fillId="2" borderId="0" xfId="0" applyFont="1" applyFill="1" applyAlignment="1">
      <alignment horizontal="center" wrapText="1"/>
    </xf>
    <xf numFmtId="9" fontId="11" fillId="2" borderId="0" xfId="21" applyFont="1" applyFill="1" applyAlignment="1">
      <alignment horizontal="center" wrapText="1"/>
    </xf>
    <xf numFmtId="0" fontId="11" fillId="2" borderId="8" xfId="0" applyFont="1" applyFill="1" applyBorder="1" applyAlignment="1">
      <alignment/>
    </xf>
    <xf numFmtId="0" fontId="11" fillId="2" borderId="9" xfId="0" applyFont="1" applyFill="1" applyBorder="1" applyAlignment="1">
      <alignment/>
    </xf>
    <xf numFmtId="0" fontId="11" fillId="2" borderId="9" xfId="0" applyFont="1" applyFill="1" applyBorder="1" applyAlignment="1">
      <alignment/>
    </xf>
    <xf numFmtId="0" fontId="11" fillId="2" borderId="9" xfId="0" applyFont="1" applyFill="1" applyBorder="1" applyAlignment="1">
      <alignment wrapText="1"/>
    </xf>
    <xf numFmtId="9" fontId="11" fillId="2" borderId="0" xfId="0" applyNumberFormat="1" applyFont="1" applyFill="1" applyAlignment="1">
      <alignment horizontal="center" wrapText="1"/>
    </xf>
    <xf numFmtId="0" fontId="11" fillId="2" borderId="8" xfId="0" applyFont="1" applyFill="1" applyBorder="1" applyAlignment="1">
      <alignment horizontal="center"/>
    </xf>
    <xf numFmtId="0" fontId="11" fillId="2" borderId="9" xfId="0" applyFont="1" applyFill="1" applyBorder="1" applyAlignment="1">
      <alignment horizontal="center"/>
    </xf>
    <xf numFmtId="0" fontId="11" fillId="2" borderId="9" xfId="0" applyFont="1" applyFill="1" applyBorder="1" applyAlignment="1">
      <alignment horizontal="center" wrapText="1"/>
    </xf>
    <xf numFmtId="9" fontId="11" fillId="2" borderId="9" xfId="21" applyFont="1" applyFill="1" applyBorder="1" applyAlignment="1">
      <alignment horizontal="center" wrapText="1"/>
    </xf>
    <xf numFmtId="9" fontId="11" fillId="2" borderId="9" xfId="0" applyNumberFormat="1" applyFont="1" applyFill="1" applyBorder="1" applyAlignment="1">
      <alignment horizontal="center" wrapText="1"/>
    </xf>
    <xf numFmtId="0" fontId="11" fillId="2" borderId="7" xfId="0" applyFont="1" applyFill="1" applyBorder="1" applyAlignment="1">
      <alignment wrapText="1"/>
    </xf>
    <xf numFmtId="0" fontId="11" fillId="2" borderId="10" xfId="0" applyFont="1" applyFill="1" applyBorder="1" applyAlignment="1">
      <alignment wrapText="1"/>
    </xf>
    <xf numFmtId="0" fontId="11" fillId="2" borderId="11" xfId="0" applyFont="1" applyFill="1" applyBorder="1" applyAlignment="1">
      <alignment/>
    </xf>
    <xf numFmtId="0" fontId="11" fillId="2" borderId="12" xfId="0" applyFont="1" applyFill="1" applyBorder="1" applyAlignment="1">
      <alignment/>
    </xf>
    <xf numFmtId="170" fontId="11" fillId="2" borderId="0" xfId="17" applyNumberFormat="1" applyFont="1" applyFill="1" applyAlignment="1">
      <alignment/>
    </xf>
    <xf numFmtId="9" fontId="11" fillId="2" borderId="0" xfId="21" applyFont="1" applyFill="1" applyAlignment="1">
      <alignment/>
    </xf>
    <xf numFmtId="49" fontId="11" fillId="2" borderId="7" xfId="0" applyNumberFormat="1" applyFont="1" applyFill="1" applyBorder="1" applyAlignment="1">
      <alignment wrapText="1"/>
    </xf>
    <xf numFmtId="0" fontId="11" fillId="2" borderId="8" xfId="0" applyFont="1" applyFill="1" applyBorder="1" applyAlignment="1">
      <alignment wrapText="1"/>
    </xf>
    <xf numFmtId="44" fontId="11" fillId="2" borderId="0" xfId="0" applyNumberFormat="1" applyFont="1" applyFill="1" applyAlignment="1">
      <alignment/>
    </xf>
    <xf numFmtId="44" fontId="11" fillId="2" borderId="9" xfId="0" applyNumberFormat="1" applyFont="1" applyFill="1" applyBorder="1" applyAlignment="1">
      <alignment/>
    </xf>
    <xf numFmtId="49" fontId="11" fillId="2" borderId="0" xfId="0" applyNumberFormat="1" applyFont="1" applyFill="1" applyAlignment="1">
      <alignment/>
    </xf>
    <xf numFmtId="0" fontId="11" fillId="3" borderId="10" xfId="0" applyFont="1" applyFill="1" applyBorder="1" applyAlignment="1">
      <alignment horizontal="left"/>
    </xf>
    <xf numFmtId="0" fontId="11" fillId="3" borderId="13" xfId="0" applyFont="1" applyFill="1" applyBorder="1" applyAlignment="1">
      <alignment horizontal="left"/>
    </xf>
    <xf numFmtId="0" fontId="11" fillId="3" borderId="11" xfId="0" applyFont="1" applyFill="1" applyBorder="1" applyAlignment="1">
      <alignment horizontal="left"/>
    </xf>
    <xf numFmtId="0" fontId="11" fillId="3" borderId="8" xfId="0" applyFont="1" applyFill="1" applyBorder="1" applyAlignment="1">
      <alignment horizontal="center"/>
    </xf>
    <xf numFmtId="0" fontId="11" fillId="3" borderId="9" xfId="0" applyFont="1" applyFill="1" applyBorder="1" applyAlignment="1">
      <alignment horizontal="center"/>
    </xf>
    <xf numFmtId="0" fontId="11" fillId="3" borderId="14" xfId="0" applyFont="1" applyFill="1" applyBorder="1" applyAlignment="1">
      <alignment horizontal="center"/>
    </xf>
    <xf numFmtId="0" fontId="11" fillId="2" borderId="12" xfId="0" applyFont="1" applyFill="1" applyBorder="1" applyAlignment="1">
      <alignment horizontal="center"/>
    </xf>
    <xf numFmtId="0" fontId="11" fillId="2" borderId="7" xfId="0" applyFont="1" applyFill="1" applyBorder="1" applyAlignment="1">
      <alignment horizontal="center" wrapText="1"/>
    </xf>
    <xf numFmtId="44" fontId="11" fillId="2" borderId="0" xfId="0" applyNumberFormat="1" applyFont="1" applyFill="1" applyAlignment="1">
      <alignment horizontal="center"/>
    </xf>
    <xf numFmtId="44" fontId="11" fillId="2" borderId="9" xfId="0" applyNumberFormat="1" applyFont="1" applyFill="1" applyBorder="1" applyAlignment="1">
      <alignment horizontal="center"/>
    </xf>
    <xf numFmtId="0" fontId="11" fillId="2" borderId="14" xfId="0" applyFont="1" applyFill="1" applyBorder="1" applyAlignment="1">
      <alignment horizontal="center"/>
    </xf>
    <xf numFmtId="0" fontId="11" fillId="2" borderId="0" xfId="0" applyFont="1" applyFill="1" applyAlignment="1">
      <alignment horizontal="left"/>
    </xf>
    <xf numFmtId="0" fontId="11" fillId="2" borderId="14" xfId="0" applyFont="1" applyFill="1" applyBorder="1" applyAlignment="1">
      <alignment/>
    </xf>
    <xf numFmtId="0" fontId="11" fillId="3" borderId="1" xfId="0" applyFont="1" applyFill="1" applyBorder="1" applyAlignment="1">
      <alignment horizontal="center"/>
    </xf>
    <xf numFmtId="44" fontId="11" fillId="2" borderId="12" xfId="0" applyNumberFormat="1" applyFont="1" applyFill="1" applyBorder="1" applyAlignment="1">
      <alignment horizontal="center"/>
    </xf>
    <xf numFmtId="44" fontId="11" fillId="2" borderId="0" xfId="17" applyFont="1" applyFill="1" applyAlignment="1">
      <alignment horizontal="center"/>
    </xf>
    <xf numFmtId="44" fontId="11" fillId="2" borderId="12" xfId="17" applyFont="1" applyFill="1" applyBorder="1" applyAlignment="1">
      <alignment horizontal="center"/>
    </xf>
    <xf numFmtId="44" fontId="11" fillId="2" borderId="14" xfId="0" applyNumberFormat="1" applyFont="1" applyFill="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wrapText="1"/>
    </xf>
    <xf numFmtId="0" fontId="11" fillId="3" borderId="1" xfId="0" applyFont="1" applyFill="1" applyBorder="1" applyAlignment="1">
      <alignment horizontal="center" wrapText="1"/>
    </xf>
    <xf numFmtId="1" fontId="11" fillId="3" borderId="6" xfId="0" applyNumberFormat="1" applyFont="1" applyFill="1" applyBorder="1" applyAlignment="1">
      <alignment horizontal="center" wrapText="1"/>
    </xf>
    <xf numFmtId="1" fontId="11" fillId="3" borderId="1" xfId="0" applyNumberFormat="1" applyFont="1" applyFill="1" applyBorder="1" applyAlignment="1">
      <alignment horizontal="center" wrapText="1"/>
    </xf>
    <xf numFmtId="1" fontId="11" fillId="2" borderId="0" xfId="0" applyNumberFormat="1" applyFont="1" applyFill="1" applyAlignment="1">
      <alignment/>
    </xf>
    <xf numFmtId="1" fontId="11" fillId="2" borderId="0" xfId="0" applyNumberFormat="1" applyFont="1" applyFill="1" applyAlignment="1">
      <alignment horizontal="center"/>
    </xf>
    <xf numFmtId="0" fontId="11" fillId="3" borderId="9" xfId="0" applyFont="1" applyFill="1" applyBorder="1" applyAlignment="1">
      <alignment horizontal="center" wrapText="1"/>
    </xf>
    <xf numFmtId="0" fontId="11" fillId="3" borderId="14" xfId="0" applyFont="1" applyFill="1" applyBorder="1" applyAlignment="1">
      <alignment horizontal="center" wrapText="1"/>
    </xf>
    <xf numFmtId="0" fontId="0" fillId="2" borderId="0" xfId="0" applyFill="1" applyAlignment="1" applyProtection="1">
      <alignment/>
      <protection locked="0"/>
    </xf>
    <xf numFmtId="0" fontId="0" fillId="0" borderId="0" xfId="0" applyAlignment="1" applyProtection="1">
      <alignment/>
      <protection locked="0"/>
    </xf>
    <xf numFmtId="0" fontId="4" fillId="2" borderId="0" xfId="0" applyFont="1" applyFill="1" applyAlignment="1" applyProtection="1">
      <alignment wrapText="1"/>
      <protection locked="0"/>
    </xf>
    <xf numFmtId="0" fontId="0" fillId="0" borderId="15" xfId="0" applyBorder="1" applyAlignment="1" applyProtection="1">
      <alignment/>
      <protection locked="0"/>
    </xf>
    <xf numFmtId="0" fontId="6" fillId="4" borderId="0" xfId="0" applyFont="1" applyFill="1" applyBorder="1" applyAlignment="1" applyProtection="1">
      <alignment horizontal="right"/>
      <protection locked="0"/>
    </xf>
    <xf numFmtId="44" fontId="6" fillId="4" borderId="0" xfId="17" applyFont="1" applyFill="1" applyBorder="1" applyAlignment="1" applyProtection="1">
      <alignment horizontal="right"/>
      <protection locked="0"/>
    </xf>
    <xf numFmtId="9" fontId="6" fillId="4" borderId="0" xfId="21" applyFont="1" applyFill="1" applyBorder="1" applyAlignment="1" applyProtection="1">
      <alignment horizontal="right"/>
      <protection locked="0"/>
    </xf>
    <xf numFmtId="0" fontId="13" fillId="2" borderId="0" xfId="0" applyFont="1" applyFill="1" applyAlignment="1" applyProtection="1">
      <alignment/>
      <protection locked="0"/>
    </xf>
    <xf numFmtId="0" fontId="15" fillId="2" borderId="0" xfId="0" applyFont="1" applyFill="1" applyAlignment="1" applyProtection="1">
      <alignment/>
      <protection locked="0"/>
    </xf>
    <xf numFmtId="0" fontId="13" fillId="0" borderId="0" xfId="0" applyFont="1" applyFill="1" applyAlignment="1" applyProtection="1">
      <alignment/>
      <protection locked="0"/>
    </xf>
    <xf numFmtId="0" fontId="0" fillId="2" borderId="0" xfId="0" applyFill="1" applyAlignment="1" applyProtection="1">
      <alignment/>
      <protection/>
    </xf>
    <xf numFmtId="0" fontId="0" fillId="0" borderId="0" xfId="0" applyAlignment="1" applyProtection="1">
      <alignment/>
      <protection/>
    </xf>
    <xf numFmtId="0" fontId="4" fillId="2" borderId="0" xfId="0" applyFont="1" applyFill="1" applyAlignment="1" applyProtection="1">
      <alignment wrapText="1"/>
      <protection/>
    </xf>
    <xf numFmtId="0" fontId="10" fillId="2" borderId="0" xfId="0" applyFont="1" applyFill="1" applyAlignment="1" applyProtection="1">
      <alignment/>
      <protection/>
    </xf>
    <xf numFmtId="0" fontId="6" fillId="2" borderId="0" xfId="0" applyFont="1" applyFill="1" applyBorder="1" applyAlignment="1" applyProtection="1">
      <alignment horizontal="right"/>
      <protection/>
    </xf>
    <xf numFmtId="44" fontId="6" fillId="2" borderId="0" xfId="17" applyFont="1" applyFill="1" applyBorder="1" applyAlignment="1" applyProtection="1">
      <alignment horizontal="left"/>
      <protection/>
    </xf>
    <xf numFmtId="44" fontId="6" fillId="2" borderId="0" xfId="0" applyNumberFormat="1" applyFont="1" applyFill="1" applyBorder="1" applyAlignment="1" applyProtection="1">
      <alignment horizontal="left"/>
      <protection/>
    </xf>
    <xf numFmtId="0" fontId="22" fillId="2" borderId="0" xfId="0" applyFont="1" applyFill="1" applyAlignment="1">
      <alignment/>
    </xf>
    <xf numFmtId="0" fontId="23" fillId="2" borderId="0" xfId="0" applyFont="1" applyFill="1" applyAlignment="1">
      <alignment/>
    </xf>
    <xf numFmtId="0" fontId="10" fillId="2" borderId="0" xfId="0" applyFont="1" applyFill="1" applyAlignment="1">
      <alignment/>
    </xf>
    <xf numFmtId="0" fontId="12" fillId="2" borderId="0" xfId="0" applyFont="1" applyFill="1" applyBorder="1" applyAlignment="1">
      <alignment/>
    </xf>
    <xf numFmtId="0" fontId="12" fillId="2" borderId="0" xfId="0" applyFont="1" applyFill="1" applyAlignment="1">
      <alignment/>
    </xf>
    <xf numFmtId="0" fontId="8" fillId="2" borderId="0" xfId="0" applyFont="1" applyFill="1" applyBorder="1" applyAlignment="1">
      <alignment horizontal="right"/>
    </xf>
    <xf numFmtId="0" fontId="0" fillId="2" borderId="8" xfId="0" applyFill="1" applyBorder="1" applyAlignment="1">
      <alignment/>
    </xf>
    <xf numFmtId="0" fontId="0" fillId="2" borderId="9" xfId="0" applyFill="1" applyBorder="1" applyAlignment="1">
      <alignment/>
    </xf>
    <xf numFmtId="0" fontId="0" fillId="2" borderId="14" xfId="0" applyFill="1" applyBorder="1" applyAlignment="1">
      <alignment/>
    </xf>
    <xf numFmtId="0" fontId="9" fillId="2" borderId="7" xfId="0" applyFont="1" applyFill="1" applyBorder="1" applyAlignment="1">
      <alignment/>
    </xf>
    <xf numFmtId="0" fontId="9" fillId="2" borderId="0" xfId="0" applyFont="1" applyFill="1" applyBorder="1" applyAlignment="1">
      <alignment/>
    </xf>
    <xf numFmtId="0" fontId="9" fillId="2" borderId="12" xfId="0" applyFont="1" applyFill="1" applyBorder="1" applyAlignment="1">
      <alignment/>
    </xf>
    <xf numFmtId="0" fontId="9" fillId="2" borderId="12" xfId="0" applyFont="1" applyFill="1" applyBorder="1" applyAlignment="1">
      <alignment horizontal="right"/>
    </xf>
    <xf numFmtId="0" fontId="26" fillId="2" borderId="0" xfId="0" applyFont="1" applyFill="1" applyBorder="1" applyAlignment="1">
      <alignment/>
    </xf>
    <xf numFmtId="175" fontId="6" fillId="4" borderId="0" xfId="17" applyNumberFormat="1" applyFont="1" applyFill="1" applyBorder="1" applyAlignment="1" applyProtection="1">
      <alignment horizontal="right"/>
      <protection locked="0"/>
    </xf>
    <xf numFmtId="0" fontId="25" fillId="2" borderId="0" xfId="0" applyFont="1" applyFill="1" applyBorder="1" applyAlignment="1">
      <alignment/>
    </xf>
    <xf numFmtId="9" fontId="25" fillId="2" borderId="0" xfId="0" applyNumberFormat="1" applyFont="1" applyFill="1" applyBorder="1" applyAlignment="1">
      <alignment/>
    </xf>
    <xf numFmtId="0" fontId="25" fillId="2" borderId="0" xfId="0" applyFont="1" applyFill="1" applyBorder="1" applyAlignment="1">
      <alignment horizontal="right"/>
    </xf>
    <xf numFmtId="0" fontId="11" fillId="2" borderId="12" xfId="0" applyFont="1" applyFill="1" applyBorder="1" applyAlignment="1">
      <alignment horizontal="right"/>
    </xf>
    <xf numFmtId="0" fontId="11" fillId="2" borderId="12" xfId="0" applyFont="1" applyFill="1" applyBorder="1" applyAlignment="1">
      <alignment/>
    </xf>
    <xf numFmtId="0" fontId="11" fillId="2" borderId="0" xfId="0" applyFont="1" applyFill="1" applyBorder="1" applyAlignment="1">
      <alignment/>
    </xf>
    <xf numFmtId="172" fontId="8" fillId="2" borderId="0" xfId="0" applyNumberFormat="1" applyFont="1" applyFill="1" applyBorder="1" applyAlignment="1">
      <alignment horizontal="left"/>
    </xf>
    <xf numFmtId="0" fontId="8" fillId="2" borderId="0" xfId="0" applyFont="1" applyFill="1" applyBorder="1" applyAlignment="1">
      <alignment/>
    </xf>
    <xf numFmtId="0" fontId="8" fillId="2" borderId="0" xfId="0" applyFont="1" applyFill="1" applyBorder="1" applyAlignment="1">
      <alignment horizontal="center"/>
    </xf>
    <xf numFmtId="172" fontId="8" fillId="2" borderId="0" xfId="0" applyNumberFormat="1" applyFont="1" applyFill="1" applyBorder="1" applyAlignment="1">
      <alignment/>
    </xf>
    <xf numFmtId="8" fontId="8" fillId="2" borderId="0" xfId="0" applyNumberFormat="1" applyFont="1" applyFill="1" applyBorder="1" applyAlignment="1">
      <alignment/>
    </xf>
    <xf numFmtId="37" fontId="12" fillId="2" borderId="0" xfId="0" applyNumberFormat="1" applyFont="1" applyFill="1" applyBorder="1" applyAlignment="1">
      <alignment horizontal="left"/>
    </xf>
    <xf numFmtId="0" fontId="12" fillId="2" borderId="0" xfId="0" applyFont="1" applyFill="1" applyBorder="1" applyAlignment="1">
      <alignment horizontal="left"/>
    </xf>
    <xf numFmtId="49" fontId="12" fillId="2" borderId="0" xfId="0" applyNumberFormat="1" applyFont="1" applyFill="1" applyBorder="1" applyAlignment="1">
      <alignment horizontal="left"/>
    </xf>
    <xf numFmtId="0" fontId="0" fillId="2" borderId="0" xfId="0" applyFill="1" applyBorder="1" applyAlignment="1">
      <alignment/>
    </xf>
    <xf numFmtId="0" fontId="28" fillId="2" borderId="0" xfId="0" applyFont="1" applyFill="1" applyBorder="1" applyAlignment="1">
      <alignment horizontal="left"/>
    </xf>
    <xf numFmtId="44" fontId="11" fillId="2" borderId="0" xfId="17" applyFont="1" applyFill="1" applyAlignment="1">
      <alignment horizontal="right"/>
    </xf>
    <xf numFmtId="0" fontId="12" fillId="2" borderId="0" xfId="0" applyFont="1" applyFill="1" applyBorder="1" applyAlignment="1">
      <alignment horizontal="left" wrapText="1"/>
    </xf>
    <xf numFmtId="0" fontId="0" fillId="2" borderId="7" xfId="0" applyFill="1" applyBorder="1" applyAlignment="1">
      <alignment/>
    </xf>
    <xf numFmtId="0" fontId="0" fillId="2" borderId="12" xfId="0" applyFill="1" applyBorder="1" applyAlignment="1">
      <alignment/>
    </xf>
    <xf numFmtId="0" fontId="8" fillId="2" borderId="7" xfId="0" applyFont="1" applyFill="1" applyBorder="1" applyAlignment="1">
      <alignment horizontal="left"/>
    </xf>
    <xf numFmtId="0" fontId="8" fillId="2" borderId="7" xfId="0" applyFont="1" applyFill="1" applyBorder="1" applyAlignment="1">
      <alignment/>
    </xf>
    <xf numFmtId="0" fontId="11" fillId="2" borderId="14" xfId="0" applyFont="1" applyFill="1" applyBorder="1" applyAlignment="1">
      <alignment/>
    </xf>
    <xf numFmtId="0" fontId="8" fillId="2" borderId="16" xfId="0" applyFont="1" applyFill="1" applyBorder="1" applyAlignment="1">
      <alignment horizontal="center"/>
    </xf>
    <xf numFmtId="0" fontId="8" fillId="2" borderId="17" xfId="0" applyFont="1" applyFill="1" applyBorder="1" applyAlignment="1">
      <alignment/>
    </xf>
    <xf numFmtId="173" fontId="8" fillId="2" borderId="17" xfId="0" applyNumberFormat="1" applyFont="1" applyFill="1" applyBorder="1" applyAlignment="1">
      <alignment horizontal="left"/>
    </xf>
    <xf numFmtId="0" fontId="8" fillId="2" borderId="18" xfId="0" applyFont="1" applyFill="1" applyBorder="1" applyAlignment="1">
      <alignment horizontal="center"/>
    </xf>
    <xf numFmtId="172" fontId="8" fillId="3" borderId="19" xfId="0" applyNumberFormat="1" applyFont="1" applyFill="1" applyBorder="1" applyAlignment="1">
      <alignment/>
    </xf>
    <xf numFmtId="0" fontId="8" fillId="3" borderId="16" xfId="0" applyFont="1" applyFill="1" applyBorder="1" applyAlignment="1">
      <alignment/>
    </xf>
    <xf numFmtId="173" fontId="8" fillId="2" borderId="17" xfId="0" applyNumberFormat="1" applyFont="1" applyFill="1" applyBorder="1" applyAlignment="1">
      <alignment/>
    </xf>
    <xf numFmtId="8" fontId="8" fillId="3" borderId="19" xfId="0" applyNumberFormat="1" applyFont="1" applyFill="1" applyBorder="1" applyAlignment="1">
      <alignment/>
    </xf>
    <xf numFmtId="8" fontId="8" fillId="2" borderId="17" xfId="0" applyNumberFormat="1" applyFont="1" applyFill="1" applyBorder="1" applyAlignment="1">
      <alignment/>
    </xf>
    <xf numFmtId="0" fontId="8" fillId="2" borderId="20" xfId="0" applyFont="1" applyFill="1" applyBorder="1" applyAlignment="1">
      <alignment horizontal="center"/>
    </xf>
    <xf numFmtId="0" fontId="8" fillId="2" borderId="21" xfId="0" applyFont="1" applyFill="1" applyBorder="1" applyAlignment="1">
      <alignment horizontal="center"/>
    </xf>
    <xf numFmtId="0" fontId="8" fillId="2" borderId="16" xfId="0" applyFont="1" applyFill="1" applyBorder="1" applyAlignment="1">
      <alignment/>
    </xf>
    <xf numFmtId="0" fontId="8" fillId="2" borderId="20" xfId="0" applyFont="1" applyFill="1" applyBorder="1" applyAlignment="1">
      <alignment/>
    </xf>
    <xf numFmtId="0" fontId="8" fillId="2" borderId="22" xfId="0" applyFont="1" applyFill="1" applyBorder="1" applyAlignment="1">
      <alignment horizontal="center"/>
    </xf>
    <xf numFmtId="0" fontId="8" fillId="2" borderId="23" xfId="0" applyFont="1" applyFill="1" applyBorder="1" applyAlignment="1">
      <alignment horizontal="left"/>
    </xf>
    <xf numFmtId="0" fontId="27" fillId="3" borderId="24" xfId="0" applyFont="1" applyFill="1" applyBorder="1" applyAlignment="1">
      <alignment horizontal="left"/>
    </xf>
    <xf numFmtId="0" fontId="27" fillId="3" borderId="24" xfId="0" applyFont="1" applyFill="1" applyBorder="1" applyAlignment="1">
      <alignment/>
    </xf>
    <xf numFmtId="0" fontId="8" fillId="2" borderId="23" xfId="0" applyFont="1" applyFill="1" applyBorder="1" applyAlignment="1">
      <alignment/>
    </xf>
    <xf numFmtId="0" fontId="8" fillId="2" borderId="25" xfId="0" applyFont="1" applyFill="1" applyBorder="1" applyAlignment="1">
      <alignment/>
    </xf>
    <xf numFmtId="0" fontId="8" fillId="2" borderId="26" xfId="0" applyFont="1" applyFill="1" applyBorder="1" applyAlignment="1">
      <alignment/>
    </xf>
    <xf numFmtId="0" fontId="0" fillId="2" borderId="12" xfId="0" applyFill="1" applyBorder="1" applyAlignment="1" applyProtection="1">
      <alignment/>
      <protection/>
    </xf>
    <xf numFmtId="0" fontId="12" fillId="2" borderId="7" xfId="0" applyFont="1" applyFill="1" applyBorder="1" applyAlignment="1">
      <alignment horizontal="left"/>
    </xf>
    <xf numFmtId="0" fontId="12" fillId="2" borderId="12" xfId="0" applyFont="1" applyFill="1" applyBorder="1" applyAlignment="1">
      <alignment horizontal="left"/>
    </xf>
    <xf numFmtId="0" fontId="24" fillId="2" borderId="0" xfId="0" applyFont="1" applyFill="1" applyBorder="1" applyAlignment="1">
      <alignment horizontal="left"/>
    </xf>
    <xf numFmtId="0" fontId="24" fillId="2" borderId="12" xfId="0" applyFont="1" applyFill="1" applyBorder="1" applyAlignment="1">
      <alignment horizontal="left"/>
    </xf>
    <xf numFmtId="44" fontId="12" fillId="2" borderId="0" xfId="17" applyNumberFormat="1" applyFont="1" applyFill="1" applyBorder="1" applyAlignment="1">
      <alignment horizontal="left"/>
    </xf>
    <xf numFmtId="44" fontId="24" fillId="2" borderId="0" xfId="17" applyNumberFormat="1" applyFont="1" applyFill="1" applyBorder="1" applyAlignment="1">
      <alignment horizontal="left"/>
    </xf>
    <xf numFmtId="175" fontId="12" fillId="2" borderId="0" xfId="17" applyNumberFormat="1" applyFont="1" applyFill="1" applyBorder="1" applyAlignment="1">
      <alignment horizontal="left"/>
    </xf>
    <xf numFmtId="0" fontId="0" fillId="2" borderId="0" xfId="0" applyFill="1" applyBorder="1" applyAlignment="1">
      <alignment horizontal="left"/>
    </xf>
    <xf numFmtId="0" fontId="0" fillId="2" borderId="7" xfId="0" applyFill="1" applyBorder="1" applyAlignment="1">
      <alignment horizontal="left"/>
    </xf>
    <xf numFmtId="0" fontId="0" fillId="2" borderId="12" xfId="0" applyFill="1" applyBorder="1" applyAlignment="1">
      <alignment horizontal="left"/>
    </xf>
    <xf numFmtId="0" fontId="4" fillId="2" borderId="7" xfId="0" applyFont="1" applyFill="1" applyBorder="1" applyAlignment="1" applyProtection="1">
      <alignment wrapText="1"/>
      <protection locked="0"/>
    </xf>
    <xf numFmtId="0" fontId="4" fillId="2" borderId="0" xfId="0" applyFont="1" applyFill="1" applyBorder="1" applyAlignment="1" applyProtection="1">
      <alignment wrapText="1"/>
      <protection locked="0"/>
    </xf>
    <xf numFmtId="0" fontId="4" fillId="2" borderId="0" xfId="0" applyFont="1" applyFill="1" applyBorder="1" applyAlignment="1" applyProtection="1">
      <alignment wrapText="1"/>
      <protection/>
    </xf>
    <xf numFmtId="0" fontId="4" fillId="2" borderId="12" xfId="0" applyFont="1" applyFill="1" applyBorder="1" applyAlignment="1" applyProtection="1">
      <alignment wrapText="1"/>
      <protection/>
    </xf>
    <xf numFmtId="0" fontId="6" fillId="2" borderId="7" xfId="0" applyFont="1" applyFill="1" applyBorder="1" applyAlignment="1" applyProtection="1">
      <alignment horizontal="right" wrapText="1"/>
      <protection/>
    </xf>
    <xf numFmtId="37" fontId="6" fillId="4" borderId="0" xfId="17" applyNumberFormat="1" applyFont="1" applyFill="1" applyBorder="1" applyAlignment="1" applyProtection="1">
      <alignment horizontal="right"/>
      <protection locked="0"/>
    </xf>
    <xf numFmtId="0" fontId="7" fillId="2" borderId="0" xfId="0" applyFont="1" applyFill="1" applyBorder="1" applyAlignment="1" applyProtection="1">
      <alignment/>
      <protection locked="0"/>
    </xf>
    <xf numFmtId="0" fontId="6" fillId="2" borderId="12" xfId="0" applyFont="1" applyFill="1" applyBorder="1" applyAlignment="1" applyProtection="1">
      <alignment horizontal="right"/>
      <protection/>
    </xf>
    <xf numFmtId="49" fontId="6" fillId="4" borderId="0" xfId="0" applyNumberFormat="1" applyFont="1" applyFill="1" applyBorder="1" applyAlignment="1" applyProtection="1">
      <alignment horizontal="right"/>
      <protection locked="0"/>
    </xf>
    <xf numFmtId="0" fontId="0" fillId="2" borderId="0" xfId="0" applyFill="1" applyBorder="1" applyAlignment="1" applyProtection="1">
      <alignment/>
      <protection locked="0"/>
    </xf>
    <xf numFmtId="44" fontId="6" fillId="2" borderId="12" xfId="17" applyFont="1" applyFill="1" applyBorder="1" applyAlignment="1" applyProtection="1">
      <alignment horizontal="right"/>
      <protection/>
    </xf>
    <xf numFmtId="44" fontId="6" fillId="2" borderId="12" xfId="0" applyNumberFormat="1" applyFont="1" applyFill="1" applyBorder="1" applyAlignment="1" applyProtection="1">
      <alignment horizontal="right"/>
      <protection/>
    </xf>
    <xf numFmtId="0" fontId="6" fillId="2" borderId="7" xfId="0" applyFont="1" applyFill="1" applyBorder="1" applyAlignment="1" applyProtection="1">
      <alignment wrapText="1"/>
      <protection/>
    </xf>
    <xf numFmtId="49" fontId="6" fillId="2" borderId="0" xfId="0" applyNumberFormat="1" applyFont="1" applyFill="1" applyBorder="1" applyAlignment="1" applyProtection="1">
      <alignment horizontal="center"/>
      <protection/>
    </xf>
    <xf numFmtId="0" fontId="8" fillId="2" borderId="0" xfId="0" applyFont="1" applyFill="1" applyBorder="1" applyAlignment="1" applyProtection="1">
      <alignment/>
      <protection/>
    </xf>
    <xf numFmtId="0" fontId="8" fillId="2" borderId="7" xfId="0" applyFont="1" applyFill="1" applyBorder="1" applyAlignment="1" applyProtection="1">
      <alignment wrapText="1"/>
      <protection/>
    </xf>
    <xf numFmtId="44" fontId="9" fillId="2" borderId="0" xfId="17" applyFont="1" applyFill="1" applyBorder="1" applyAlignment="1" applyProtection="1">
      <alignment horizontal="center"/>
      <protection/>
    </xf>
    <xf numFmtId="0" fontId="5" fillId="2" borderId="0" xfId="0" applyFont="1" applyFill="1" applyBorder="1" applyAlignment="1" applyProtection="1">
      <alignment horizontal="right" wrapText="1"/>
      <protection/>
    </xf>
    <xf numFmtId="0" fontId="5" fillId="2" borderId="0" xfId="0" applyFont="1" applyFill="1" applyBorder="1" applyAlignment="1" applyProtection="1">
      <alignment/>
      <protection/>
    </xf>
    <xf numFmtId="0" fontId="18" fillId="2" borderId="0" xfId="0" applyFont="1" applyFill="1" applyBorder="1" applyAlignment="1" applyProtection="1">
      <alignment horizontal="left"/>
      <protection/>
    </xf>
    <xf numFmtId="0" fontId="19" fillId="2" borderId="0" xfId="0" applyFont="1" applyFill="1" applyBorder="1" applyAlignment="1" applyProtection="1">
      <alignment/>
      <protection/>
    </xf>
    <xf numFmtId="0" fontId="19" fillId="2" borderId="12" xfId="0" applyFont="1" applyFill="1" applyBorder="1" applyAlignment="1" applyProtection="1">
      <alignment/>
      <protection/>
    </xf>
    <xf numFmtId="0" fontId="18" fillId="2" borderId="0" xfId="0" applyFont="1" applyFill="1" applyBorder="1" applyAlignment="1" applyProtection="1">
      <alignment wrapText="1"/>
      <protection/>
    </xf>
    <xf numFmtId="0" fontId="18" fillId="2" borderId="12" xfId="0" applyFont="1" applyFill="1" applyBorder="1" applyAlignment="1" applyProtection="1">
      <alignment wrapText="1"/>
      <protection/>
    </xf>
    <xf numFmtId="0" fontId="18" fillId="2" borderId="0" xfId="0" applyFont="1" applyFill="1" applyBorder="1" applyAlignment="1" applyProtection="1">
      <alignment/>
      <protection/>
    </xf>
    <xf numFmtId="0" fontId="18" fillId="2" borderId="12" xfId="0" applyFont="1" applyFill="1" applyBorder="1" applyAlignment="1" applyProtection="1">
      <alignment/>
      <protection/>
    </xf>
    <xf numFmtId="0" fontId="0" fillId="2" borderId="0" xfId="0" applyFill="1" applyBorder="1" applyAlignment="1" applyProtection="1">
      <alignment/>
      <protection/>
    </xf>
    <xf numFmtId="0" fontId="10" fillId="2" borderId="0" xfId="0" applyFont="1" applyFill="1" applyBorder="1" applyAlignment="1" applyProtection="1">
      <alignment horizontal="left"/>
      <protection/>
    </xf>
    <xf numFmtId="0" fontId="8" fillId="2" borderId="12" xfId="0" applyFont="1" applyFill="1" applyBorder="1" applyAlignment="1" applyProtection="1">
      <alignment horizontal="right"/>
      <protection/>
    </xf>
    <xf numFmtId="0" fontId="6" fillId="2" borderId="8" xfId="0" applyFont="1" applyFill="1" applyBorder="1" applyAlignment="1" applyProtection="1">
      <alignment horizontal="right" wrapText="1"/>
      <protection/>
    </xf>
    <xf numFmtId="49" fontId="6" fillId="4" borderId="9" xfId="0" applyNumberFormat="1" applyFont="1" applyFill="1" applyBorder="1" applyAlignment="1" applyProtection="1">
      <alignment horizontal="right"/>
      <protection locked="0"/>
    </xf>
    <xf numFmtId="0" fontId="8" fillId="2" borderId="14" xfId="0" applyFont="1" applyFill="1" applyBorder="1" applyAlignment="1" applyProtection="1">
      <alignment horizontal="right"/>
      <protection/>
    </xf>
    <xf numFmtId="0" fontId="6" fillId="2" borderId="5" xfId="0" applyFont="1" applyFill="1" applyBorder="1" applyAlignment="1" applyProtection="1">
      <alignment horizontal="right" wrapText="1"/>
      <protection/>
    </xf>
    <xf numFmtId="44" fontId="6" fillId="4" borderId="6" xfId="17" applyFont="1" applyFill="1" applyBorder="1" applyAlignment="1" applyProtection="1">
      <alignment/>
      <protection locked="0"/>
    </xf>
    <xf numFmtId="0" fontId="6" fillId="2" borderId="1" xfId="0" applyFont="1" applyFill="1" applyBorder="1" applyAlignment="1" applyProtection="1">
      <alignment horizontal="right"/>
      <protection/>
    </xf>
    <xf numFmtId="0" fontId="6" fillId="2" borderId="10" xfId="0" applyFont="1" applyFill="1" applyBorder="1" applyAlignment="1" applyProtection="1">
      <alignment horizontal="right" wrapText="1"/>
      <protection/>
    </xf>
    <xf numFmtId="10" fontId="6" fillId="4" borderId="13" xfId="21" applyNumberFormat="1" applyFont="1" applyFill="1" applyBorder="1" applyAlignment="1" applyProtection="1">
      <alignment horizontal="right"/>
      <protection locked="0"/>
    </xf>
    <xf numFmtId="0" fontId="5" fillId="2" borderId="11" xfId="0" applyFont="1" applyFill="1" applyBorder="1" applyAlignment="1" applyProtection="1">
      <alignment horizontal="right"/>
      <protection/>
    </xf>
    <xf numFmtId="0" fontId="5" fillId="2" borderId="12" xfId="0" applyFont="1" applyFill="1" applyBorder="1" applyAlignment="1" applyProtection="1">
      <alignment horizontal="right"/>
      <protection/>
    </xf>
    <xf numFmtId="37" fontId="6" fillId="4" borderId="9" xfId="17" applyNumberFormat="1" applyFont="1" applyFill="1" applyBorder="1" applyAlignment="1" applyProtection="1">
      <alignment horizontal="right"/>
      <protection locked="0"/>
    </xf>
    <xf numFmtId="0" fontId="5" fillId="2" borderId="14" xfId="0" applyFont="1" applyFill="1" applyBorder="1" applyAlignment="1" applyProtection="1">
      <alignment horizontal="right"/>
      <protection/>
    </xf>
    <xf numFmtId="0" fontId="6" fillId="2" borderId="10" xfId="0" applyFont="1" applyFill="1" applyBorder="1" applyAlignment="1" applyProtection="1">
      <alignment/>
      <protection/>
    </xf>
    <xf numFmtId="0" fontId="6" fillId="2" borderId="13" xfId="0" applyFont="1" applyFill="1" applyBorder="1" applyAlignment="1" applyProtection="1">
      <alignment horizontal="right"/>
      <protection/>
    </xf>
    <xf numFmtId="0" fontId="6" fillId="2" borderId="11" xfId="0" applyFont="1" applyFill="1" applyBorder="1" applyAlignment="1" applyProtection="1">
      <alignment horizontal="right"/>
      <protection/>
    </xf>
    <xf numFmtId="0" fontId="6" fillId="2" borderId="7" xfId="0" applyFont="1" applyFill="1" applyBorder="1" applyAlignment="1" applyProtection="1">
      <alignment horizontal="right"/>
      <protection/>
    </xf>
    <xf numFmtId="49" fontId="6" fillId="2" borderId="7" xfId="0" applyNumberFormat="1" applyFont="1" applyFill="1" applyBorder="1" applyAlignment="1" applyProtection="1">
      <alignment horizontal="right"/>
      <protection/>
    </xf>
    <xf numFmtId="0" fontId="6" fillId="2" borderId="7" xfId="0" applyFont="1" applyFill="1" applyBorder="1" applyAlignment="1" applyProtection="1">
      <alignment/>
      <protection/>
    </xf>
    <xf numFmtId="0" fontId="6" fillId="2" borderId="9" xfId="0" applyFont="1" applyFill="1" applyBorder="1" applyAlignment="1" applyProtection="1">
      <alignment horizontal="right"/>
      <protection/>
    </xf>
    <xf numFmtId="44" fontId="6" fillId="2" borderId="14" xfId="0" applyNumberFormat="1" applyFont="1" applyFill="1" applyBorder="1" applyAlignment="1" applyProtection="1">
      <alignment horizontal="right"/>
      <protection/>
    </xf>
    <xf numFmtId="0" fontId="14" fillId="2" borderId="0" xfId="0" applyFont="1" applyFill="1" applyBorder="1" applyAlignment="1" applyProtection="1">
      <alignment/>
      <protection locked="0"/>
    </xf>
    <xf numFmtId="0" fontId="13" fillId="2" borderId="0" xfId="0" applyFont="1" applyFill="1" applyBorder="1" applyAlignment="1" applyProtection="1">
      <alignment horizontal="left"/>
      <protection locked="0"/>
    </xf>
    <xf numFmtId="0" fontId="8" fillId="2" borderId="0" xfId="0" applyFont="1" applyFill="1" applyBorder="1" applyAlignment="1" applyProtection="1">
      <alignment/>
      <protection locked="0"/>
    </xf>
    <xf numFmtId="0" fontId="10" fillId="2" borderId="0" xfId="0" applyFont="1" applyFill="1" applyBorder="1" applyAlignment="1" applyProtection="1">
      <alignment/>
      <protection/>
    </xf>
    <xf numFmtId="0" fontId="0" fillId="0" borderId="0" xfId="0" applyBorder="1" applyAlignment="1" applyProtection="1">
      <alignment/>
      <protection locked="0"/>
    </xf>
    <xf numFmtId="0" fontId="0" fillId="2" borderId="9" xfId="0" applyFill="1" applyBorder="1" applyAlignment="1" applyProtection="1">
      <alignment/>
      <protection locked="0"/>
    </xf>
    <xf numFmtId="44" fontId="12" fillId="2" borderId="17" xfId="17" applyNumberFormat="1" applyFont="1" applyFill="1" applyBorder="1" applyAlignment="1">
      <alignment horizontal="left"/>
    </xf>
    <xf numFmtId="0" fontId="12" fillId="2" borderId="17" xfId="0" applyFont="1" applyFill="1" applyBorder="1" applyAlignment="1">
      <alignment horizontal="left"/>
    </xf>
    <xf numFmtId="0" fontId="8" fillId="2" borderId="27" xfId="0" applyFont="1" applyFill="1" applyBorder="1" applyAlignment="1">
      <alignment horizontal="left"/>
    </xf>
    <xf numFmtId="0" fontId="8" fillId="2" borderId="28" xfId="0" applyFont="1" applyFill="1" applyBorder="1" applyAlignment="1">
      <alignment horizontal="left"/>
    </xf>
    <xf numFmtId="0" fontId="8" fillId="2" borderId="27" xfId="0" applyFont="1" applyFill="1" applyBorder="1" applyAlignment="1">
      <alignment/>
    </xf>
    <xf numFmtId="0" fontId="8" fillId="2" borderId="28" xfId="0" applyFont="1" applyFill="1" applyBorder="1" applyAlignment="1">
      <alignment/>
    </xf>
    <xf numFmtId="4" fontId="25" fillId="2" borderId="29" xfId="0" applyNumberFormat="1" applyFont="1" applyFill="1" applyBorder="1" applyAlignment="1">
      <alignment horizontal="left"/>
    </xf>
    <xf numFmtId="4" fontId="25" fillId="2" borderId="21" xfId="0" applyNumberFormat="1" applyFont="1" applyFill="1" applyBorder="1" applyAlignment="1">
      <alignment horizontal="left"/>
    </xf>
    <xf numFmtId="44" fontId="25" fillId="2" borderId="20" xfId="17" applyFont="1" applyFill="1" applyBorder="1" applyAlignment="1">
      <alignment horizontal="left"/>
    </xf>
    <xf numFmtId="44" fontId="25" fillId="2" borderId="18" xfId="17" applyFont="1" applyFill="1" applyBorder="1" applyAlignment="1">
      <alignment horizontal="left"/>
    </xf>
    <xf numFmtId="44" fontId="25" fillId="2" borderId="30" xfId="17" applyFont="1" applyFill="1" applyBorder="1" applyAlignment="1">
      <alignment horizontal="left"/>
    </xf>
    <xf numFmtId="44" fontId="25" fillId="2" borderId="20" xfId="17" applyFont="1" applyFill="1" applyBorder="1" applyAlignment="1">
      <alignment horizontal="center"/>
    </xf>
    <xf numFmtId="44" fontId="25" fillId="2" borderId="18" xfId="17" applyFont="1" applyFill="1" applyBorder="1" applyAlignment="1">
      <alignment horizontal="center"/>
    </xf>
    <xf numFmtId="44" fontId="25" fillId="2" borderId="30" xfId="17" applyFont="1" applyFill="1" applyBorder="1" applyAlignment="1">
      <alignment horizontal="center"/>
    </xf>
    <xf numFmtId="49" fontId="25" fillId="2" borderId="29" xfId="0" applyNumberFormat="1" applyFont="1" applyFill="1" applyBorder="1" applyAlignment="1">
      <alignment horizontal="right"/>
    </xf>
    <xf numFmtId="44" fontId="25" fillId="2" borderId="29" xfId="17" applyFont="1" applyFill="1" applyBorder="1" applyAlignment="1">
      <alignment horizontal="right"/>
    </xf>
    <xf numFmtId="10" fontId="25" fillId="2" borderId="29" xfId="0" applyNumberFormat="1" applyFont="1" applyFill="1" applyBorder="1" applyAlignment="1">
      <alignment horizontal="right"/>
    </xf>
    <xf numFmtId="10" fontId="25" fillId="2" borderId="21" xfId="0" applyNumberFormat="1" applyFont="1" applyFill="1" applyBorder="1" applyAlignment="1">
      <alignment horizontal="right"/>
    </xf>
    <xf numFmtId="44" fontId="25" fillId="2" borderId="29" xfId="17" applyFont="1" applyFill="1" applyBorder="1" applyAlignment="1">
      <alignment/>
    </xf>
    <xf numFmtId="44" fontId="25" fillId="2" borderId="21" xfId="17" applyFont="1" applyFill="1" applyBorder="1" applyAlignment="1">
      <alignment/>
    </xf>
    <xf numFmtId="10" fontId="25" fillId="2" borderId="29" xfId="0" applyNumberFormat="1" applyFont="1" applyFill="1" applyBorder="1" applyAlignment="1">
      <alignment/>
    </xf>
    <xf numFmtId="0" fontId="25" fillId="2" borderId="21" xfId="0" applyFont="1" applyFill="1" applyBorder="1" applyAlignment="1">
      <alignment/>
    </xf>
    <xf numFmtId="44" fontId="25" fillId="2" borderId="31" xfId="17" applyFont="1" applyFill="1" applyBorder="1" applyAlignment="1">
      <alignment horizontal="center"/>
    </xf>
    <xf numFmtId="44" fontId="12" fillId="2" borderId="0" xfId="17" applyFont="1" applyFill="1" applyBorder="1" applyAlignment="1">
      <alignment horizontal="left"/>
    </xf>
    <xf numFmtId="37" fontId="11" fillId="2" borderId="0" xfId="0" applyNumberFormat="1" applyFont="1" applyFill="1" applyAlignment="1">
      <alignment/>
    </xf>
    <xf numFmtId="37" fontId="11" fillId="2" borderId="12" xfId="0" applyNumberFormat="1" applyFont="1" applyFill="1" applyBorder="1" applyAlignment="1">
      <alignment/>
    </xf>
    <xf numFmtId="0" fontId="18" fillId="2" borderId="0" xfId="0" applyFont="1" applyFill="1" applyBorder="1" applyAlignment="1" applyProtection="1">
      <alignment wrapText="1"/>
      <protection/>
    </xf>
    <xf numFmtId="0" fontId="18" fillId="2" borderId="12" xfId="0" applyFont="1" applyFill="1" applyBorder="1" applyAlignment="1" applyProtection="1">
      <alignment wrapText="1"/>
      <protection/>
    </xf>
    <xf numFmtId="0" fontId="5" fillId="3" borderId="1" xfId="0" applyFont="1" applyFill="1" applyBorder="1" applyAlignment="1" applyProtection="1">
      <alignment horizontal="center"/>
      <protection/>
    </xf>
    <xf numFmtId="0" fontId="20" fillId="2" borderId="0" xfId="0" applyFont="1" applyFill="1" applyAlignment="1">
      <alignment horizontal="center" vertical="center"/>
    </xf>
    <xf numFmtId="0" fontId="0" fillId="0" borderId="0" xfId="0" applyAlignment="1">
      <alignment/>
    </xf>
    <xf numFmtId="0" fontId="12" fillId="2" borderId="0" xfId="20" applyFont="1" applyFill="1" applyAlignment="1">
      <alignment horizontal="left"/>
    </xf>
    <xf numFmtId="0" fontId="17" fillId="3" borderId="8" xfId="0" applyFont="1" applyFill="1" applyBorder="1" applyAlignment="1" applyProtection="1">
      <alignment horizontal="center" wrapText="1"/>
      <protection locked="0"/>
    </xf>
    <xf numFmtId="0" fontId="17" fillId="3" borderId="9" xfId="0" applyFont="1" applyFill="1" applyBorder="1" applyAlignment="1" applyProtection="1">
      <alignment horizontal="center" wrapText="1"/>
      <protection locked="0"/>
    </xf>
    <xf numFmtId="0" fontId="17" fillId="3" borderId="14" xfId="0" applyFont="1" applyFill="1" applyBorder="1" applyAlignment="1" applyProtection="1">
      <alignment horizontal="center" wrapText="1"/>
      <protection locked="0"/>
    </xf>
    <xf numFmtId="0" fontId="3" fillId="3" borderId="7" xfId="0" applyFont="1" applyFill="1" applyBorder="1" applyAlignment="1" applyProtection="1">
      <alignment horizontal="center" wrapText="1"/>
      <protection locked="0"/>
    </xf>
    <xf numFmtId="0" fontId="3" fillId="3" borderId="0" xfId="0" applyFont="1" applyFill="1" applyBorder="1" applyAlignment="1" applyProtection="1">
      <alignment horizontal="center" wrapText="1"/>
      <protection locked="0"/>
    </xf>
    <xf numFmtId="0" fontId="3" fillId="3" borderId="12" xfId="0" applyFont="1" applyFill="1" applyBorder="1" applyAlignment="1" applyProtection="1">
      <alignment horizontal="center" wrapText="1"/>
      <protection locked="0"/>
    </xf>
    <xf numFmtId="0" fontId="3" fillId="3" borderId="10" xfId="0" applyFont="1" applyFill="1" applyBorder="1" applyAlignment="1" applyProtection="1">
      <alignment horizontal="center" vertical="center" wrapText="1"/>
      <protection/>
    </xf>
    <xf numFmtId="0" fontId="3" fillId="3" borderId="13" xfId="0" applyFont="1" applyFill="1" applyBorder="1" applyAlignment="1" applyProtection="1">
      <alignment horizontal="center" vertical="center" wrapText="1"/>
      <protection/>
    </xf>
    <xf numFmtId="0" fontId="3" fillId="3" borderId="11" xfId="0" applyFont="1" applyFill="1" applyBorder="1" applyAlignment="1" applyProtection="1">
      <alignment horizontal="center" vertical="center" wrapText="1"/>
      <protection/>
    </xf>
    <xf numFmtId="0" fontId="3" fillId="3" borderId="7" xfId="0" applyFont="1" applyFill="1" applyBorder="1" applyAlignment="1" applyProtection="1">
      <alignment horizontal="center" vertical="center" wrapText="1"/>
      <protection/>
    </xf>
    <xf numFmtId="0" fontId="3" fillId="3" borderId="0" xfId="0" applyFont="1" applyFill="1" applyBorder="1" applyAlignment="1" applyProtection="1">
      <alignment horizontal="center" vertical="center" wrapText="1"/>
      <protection/>
    </xf>
    <xf numFmtId="0" fontId="3" fillId="3" borderId="12" xfId="0" applyFont="1" applyFill="1" applyBorder="1" applyAlignment="1" applyProtection="1">
      <alignment horizontal="center" vertical="center" wrapText="1"/>
      <protection/>
    </xf>
    <xf numFmtId="0" fontId="10" fillId="2" borderId="9" xfId="0" applyFont="1" applyFill="1" applyBorder="1" applyAlignment="1" applyProtection="1">
      <alignment wrapText="1"/>
      <protection/>
    </xf>
    <xf numFmtId="0" fontId="10" fillId="2" borderId="14" xfId="0" applyFont="1" applyFill="1" applyBorder="1" applyAlignment="1" applyProtection="1">
      <alignment wrapText="1"/>
      <protection/>
    </xf>
    <xf numFmtId="0" fontId="5" fillId="3" borderId="5" xfId="0" applyFont="1" applyFill="1" applyBorder="1" applyAlignment="1" applyProtection="1">
      <alignment horizontal="center"/>
      <protection/>
    </xf>
    <xf numFmtId="0" fontId="5" fillId="3" borderId="6" xfId="0" applyFont="1" applyFill="1" applyBorder="1" applyAlignment="1" applyProtection="1">
      <alignment horizontal="center"/>
      <protection/>
    </xf>
    <xf numFmtId="0" fontId="5" fillId="3" borderId="5" xfId="0" applyFont="1" applyFill="1" applyBorder="1" applyAlignment="1" applyProtection="1">
      <alignment horizontal="center" wrapText="1"/>
      <protection/>
    </xf>
    <xf numFmtId="0" fontId="5" fillId="3" borderId="6" xfId="0" applyFont="1" applyFill="1" applyBorder="1" applyAlignment="1" applyProtection="1">
      <alignment horizontal="center" wrapText="1"/>
      <protection/>
    </xf>
    <xf numFmtId="0" fontId="5" fillId="3" borderId="1" xfId="0" applyFont="1" applyFill="1" applyBorder="1" applyAlignment="1" applyProtection="1">
      <alignment horizontal="center" wrapText="1"/>
      <protection/>
    </xf>
    <xf numFmtId="0" fontId="3" fillId="3" borderId="10" xfId="0" applyFont="1" applyFill="1" applyBorder="1" applyAlignment="1" applyProtection="1">
      <alignment horizontal="left" vertical="center" wrapText="1"/>
      <protection/>
    </xf>
    <xf numFmtId="0" fontId="3" fillId="3" borderId="13" xfId="0" applyFont="1" applyFill="1" applyBorder="1" applyAlignment="1" applyProtection="1">
      <alignment horizontal="left" vertical="center" wrapText="1"/>
      <protection/>
    </xf>
    <xf numFmtId="0" fontId="3" fillId="3" borderId="11" xfId="0" applyFont="1" applyFill="1" applyBorder="1" applyAlignment="1" applyProtection="1">
      <alignment horizontal="left" vertical="center" wrapText="1"/>
      <protection/>
    </xf>
    <xf numFmtId="0" fontId="3" fillId="3" borderId="7" xfId="0" applyFont="1" applyFill="1" applyBorder="1" applyAlignment="1" applyProtection="1">
      <alignment horizontal="left" vertical="center" wrapText="1"/>
      <protection/>
    </xf>
    <xf numFmtId="0" fontId="3" fillId="3" borderId="0" xfId="0" applyFont="1" applyFill="1" applyBorder="1" applyAlignment="1" applyProtection="1">
      <alignment horizontal="left" vertical="center" wrapText="1"/>
      <protection/>
    </xf>
    <xf numFmtId="0" fontId="3" fillId="3" borderId="12" xfId="0" applyFont="1" applyFill="1" applyBorder="1" applyAlignment="1" applyProtection="1">
      <alignment horizontal="left" vertical="center" wrapText="1"/>
      <protection/>
    </xf>
    <xf numFmtId="0" fontId="3" fillId="3" borderId="7" xfId="0" applyFont="1" applyFill="1" applyBorder="1" applyAlignment="1" applyProtection="1">
      <alignment horizontal="left" wrapText="1"/>
      <protection locked="0"/>
    </xf>
    <xf numFmtId="0" fontId="3" fillId="3" borderId="0" xfId="0" applyFont="1" applyFill="1" applyBorder="1" applyAlignment="1" applyProtection="1">
      <alignment horizontal="left" wrapText="1"/>
      <protection locked="0"/>
    </xf>
    <xf numFmtId="0" fontId="3" fillId="3" borderId="12" xfId="0" applyFont="1" applyFill="1" applyBorder="1" applyAlignment="1" applyProtection="1">
      <alignment horizontal="left" wrapText="1"/>
      <protection locked="0"/>
    </xf>
    <xf numFmtId="0" fontId="17" fillId="3" borderId="8" xfId="0" applyFont="1" applyFill="1" applyBorder="1" applyAlignment="1" applyProtection="1">
      <alignment horizontal="left" wrapText="1"/>
      <protection locked="0"/>
    </xf>
    <xf numFmtId="0" fontId="17" fillId="3" borderId="9" xfId="0" applyFont="1" applyFill="1" applyBorder="1" applyAlignment="1" applyProtection="1">
      <alignment horizontal="left" wrapText="1"/>
      <protection locked="0"/>
    </xf>
    <xf numFmtId="0" fontId="17" fillId="3" borderId="14" xfId="0" applyFont="1" applyFill="1" applyBorder="1" applyAlignment="1" applyProtection="1">
      <alignment horizontal="left" wrapText="1"/>
      <protection locked="0"/>
    </xf>
    <xf numFmtId="0" fontId="12" fillId="2" borderId="7" xfId="0" applyFont="1" applyFill="1" applyBorder="1" applyAlignment="1">
      <alignment horizontal="left" wrapText="1"/>
    </xf>
    <xf numFmtId="0" fontId="12" fillId="2" borderId="0" xfId="0" applyFont="1" applyFill="1" applyBorder="1" applyAlignment="1">
      <alignment horizontal="left" wrapText="1"/>
    </xf>
    <xf numFmtId="0" fontId="12" fillId="2" borderId="12" xfId="0" applyFont="1" applyFill="1" applyBorder="1" applyAlignment="1">
      <alignment horizontal="left" wrapText="1"/>
    </xf>
    <xf numFmtId="0" fontId="8" fillId="3" borderId="32" xfId="0" applyFont="1" applyFill="1" applyBorder="1" applyAlignment="1">
      <alignment horizontal="left"/>
    </xf>
    <xf numFmtId="0" fontId="8" fillId="3" borderId="33" xfId="0" applyFont="1" applyFill="1" applyBorder="1" applyAlignment="1">
      <alignment horizontal="left"/>
    </xf>
    <xf numFmtId="0" fontId="8" fillId="3" borderId="22" xfId="0" applyFont="1" applyFill="1" applyBorder="1" applyAlignment="1">
      <alignment horizontal="left"/>
    </xf>
    <xf numFmtId="0" fontId="8" fillId="3" borderId="24" xfId="0" applyFont="1" applyFill="1" applyBorder="1" applyAlignment="1">
      <alignment horizontal="left"/>
    </xf>
    <xf numFmtId="0" fontId="8" fillId="3" borderId="19" xfId="0" applyFont="1" applyFill="1" applyBorder="1" applyAlignment="1">
      <alignment horizontal="left"/>
    </xf>
    <xf numFmtId="0" fontId="8" fillId="3" borderId="16" xfId="0" applyFont="1" applyFill="1" applyBorder="1" applyAlignment="1">
      <alignment horizontal="left"/>
    </xf>
    <xf numFmtId="0" fontId="0" fillId="3" borderId="10" xfId="0" applyFill="1" applyBorder="1" applyAlignment="1">
      <alignment/>
    </xf>
    <xf numFmtId="0" fontId="0" fillId="3" borderId="13" xfId="0" applyFill="1" applyBorder="1" applyAlignment="1">
      <alignment/>
    </xf>
    <xf numFmtId="0" fontId="0" fillId="3" borderId="11" xfId="0" applyFill="1" applyBorder="1" applyAlignment="1">
      <alignment/>
    </xf>
    <xf numFmtId="0" fontId="3" fillId="3" borderId="7" xfId="0" applyFont="1" applyFill="1" applyBorder="1" applyAlignment="1">
      <alignment horizontal="left"/>
    </xf>
    <xf numFmtId="0" fontId="29" fillId="3" borderId="0" xfId="0" applyFont="1" applyFill="1" applyBorder="1" applyAlignment="1">
      <alignment horizontal="left"/>
    </xf>
    <xf numFmtId="0" fontId="29" fillId="3" borderId="12" xfId="0" applyFont="1" applyFill="1" applyBorder="1" applyAlignment="1">
      <alignment horizontal="left"/>
    </xf>
    <xf numFmtId="0" fontId="3" fillId="3" borderId="0" xfId="0" applyFont="1" applyFill="1" applyBorder="1" applyAlignment="1">
      <alignment horizontal="left"/>
    </xf>
    <xf numFmtId="0" fontId="3" fillId="3" borderId="12" xfId="0" applyFont="1" applyFill="1" applyBorder="1" applyAlignment="1">
      <alignment horizontal="left"/>
    </xf>
    <xf numFmtId="0" fontId="17" fillId="3" borderId="8" xfId="0" applyFont="1" applyFill="1" applyBorder="1" applyAlignment="1">
      <alignment horizontal="left"/>
    </xf>
    <xf numFmtId="0" fontId="17" fillId="3" borderId="9" xfId="0" applyFont="1" applyFill="1" applyBorder="1" applyAlignment="1">
      <alignment horizontal="left"/>
    </xf>
    <xf numFmtId="0" fontId="17" fillId="3" borderId="14" xfId="0" applyFont="1" applyFill="1" applyBorder="1" applyAlignment="1">
      <alignment horizontal="left"/>
    </xf>
    <xf numFmtId="0" fontId="3" fillId="3" borderId="5" xfId="0" applyFont="1" applyFill="1" applyBorder="1" applyAlignment="1">
      <alignment horizontal="left"/>
    </xf>
    <xf numFmtId="0" fontId="3" fillId="3" borderId="6" xfId="0" applyFont="1" applyFill="1" applyBorder="1" applyAlignment="1">
      <alignment horizontal="left"/>
    </xf>
    <xf numFmtId="0" fontId="3" fillId="3" borderId="1" xfId="0" applyFont="1" applyFill="1" applyBorder="1" applyAlignment="1">
      <alignment horizontal="left"/>
    </xf>
    <xf numFmtId="0" fontId="3" fillId="3" borderId="5" xfId="0" applyFont="1" applyFill="1" applyBorder="1" applyAlignment="1">
      <alignment horizontal="left" wrapText="1"/>
    </xf>
    <xf numFmtId="0" fontId="3" fillId="3" borderId="6" xfId="0" applyFont="1" applyFill="1" applyBorder="1" applyAlignment="1">
      <alignment horizontal="left" wrapText="1"/>
    </xf>
    <xf numFmtId="0" fontId="3" fillId="3" borderId="1" xfId="0" applyFont="1" applyFill="1" applyBorder="1" applyAlignment="1">
      <alignment horizontal="left" wrapText="1"/>
    </xf>
    <xf numFmtId="0" fontId="3" fillId="3" borderId="5" xfId="0" applyFont="1" applyFill="1" applyBorder="1" applyAlignment="1">
      <alignment/>
    </xf>
    <xf numFmtId="0" fontId="3" fillId="3" borderId="6" xfId="0" applyFont="1" applyFill="1" applyBorder="1" applyAlignment="1">
      <alignment/>
    </xf>
    <xf numFmtId="0" fontId="3" fillId="3" borderId="1" xfId="0" applyFont="1" applyFill="1" applyBorder="1" applyAlignment="1">
      <alignment/>
    </xf>
    <xf numFmtId="0" fontId="11" fillId="3" borderId="1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ABB800"/>
      <rgbColor rgb="00FFFFFF"/>
      <rgbColor rgb="00DD0806"/>
      <rgbColor rgb="001FB714"/>
      <rgbColor rgb="000000D4"/>
      <rgbColor rgb="00FCF305"/>
      <rgbColor rgb="00F20884"/>
      <rgbColor rgb="0000ABEA"/>
      <rgbColor rgb="00004741"/>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66000"/>
      <rgbColor rgb="00666699"/>
      <rgbColor rgb="00969696"/>
      <rgbColor rgb="00003366"/>
      <rgbColor rgb="00339966"/>
      <rgbColor rgb="00003300"/>
      <rgbColor rgb="00333300"/>
      <rgbColor rgb="00BC25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orthwestenergystar.com/Documents%20and%20Settings\bcartwright\Local%20Settings\Temporary%20Internet%20Files\Content.MSO\MSE\Updated%209-21%20Energy%20Star%20Calculator%20WORKING%20FILE\Loan%20calculator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orthwestenergystar.com/2400\Savings%20Calculator\ENERGY%20STAR%20Savings%20Calculator%20Version%201%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an Calculator"/>
    </sheetNames>
    <sheetDataSet>
      <sheetData sheetId="0">
        <row r="15">
          <cell r="B15" t="str">
            <v>No.</v>
          </cell>
          <cell r="C15" t="str">
            <v>Payment Date</v>
          </cell>
          <cell r="D15" t="str">
            <v>Beginning Balance</v>
          </cell>
          <cell r="E15" t="str">
            <v>Payment</v>
          </cell>
          <cell r="F15" t="str">
            <v>Principal</v>
          </cell>
          <cell r="G15" t="str">
            <v>Interest</v>
          </cell>
          <cell r="H15" t="str">
            <v>Ending Balance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
      <sheetName val="Summary"/>
      <sheetName val="Calculations"/>
      <sheetName val="PivotTable"/>
      <sheetName val="Data"/>
    </sheetNames>
    <sheetDataSet>
      <sheetData sheetId="0">
        <row r="5">
          <cell r="U5" t="str">
            <v>Boise</v>
          </cell>
          <cell r="V5">
            <v>0.5</v>
          </cell>
          <cell r="X5" t="str">
            <v>Heat Pump</v>
          </cell>
        </row>
        <row r="6">
          <cell r="U6" t="str">
            <v>Seattle</v>
          </cell>
          <cell r="V6" t="str">
            <v>ALP</v>
          </cell>
          <cell r="X6" t="str">
            <v>Gas Furnace</v>
          </cell>
        </row>
        <row r="7">
          <cell r="U7" t="str">
            <v>Spokane</v>
          </cell>
          <cell r="V7">
            <v>1</v>
          </cell>
        </row>
        <row r="8">
          <cell r="U8" t="str">
            <v>Missoula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orthwestenergystar.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A1:Q48"/>
  <sheetViews>
    <sheetView workbookViewId="0" topLeftCell="A1">
      <selection activeCell="K22" sqref="K22"/>
    </sheetView>
  </sheetViews>
  <sheetFormatPr defaultColWidth="9.140625" defaultRowHeight="12.75"/>
  <cols>
    <col min="1" max="1" width="22.00390625" style="0" customWidth="1"/>
    <col min="2" max="2" width="8.8515625" style="0" customWidth="1"/>
    <col min="3" max="3" width="8.28125" style="0" customWidth="1"/>
    <col min="5" max="5" width="10.7109375" style="0" customWidth="1"/>
    <col min="17" max="17" width="21.8515625" style="0" customWidth="1"/>
  </cols>
  <sheetData>
    <row r="1" spans="1:17" ht="20.25" customHeight="1">
      <c r="A1" s="248" t="s">
        <v>153</v>
      </c>
      <c r="B1" s="249"/>
      <c r="C1" s="249"/>
      <c r="D1" s="249"/>
      <c r="E1" s="249"/>
      <c r="F1" s="249"/>
      <c r="G1" s="249"/>
      <c r="H1" s="249"/>
      <c r="I1" s="249"/>
      <c r="J1" s="249"/>
      <c r="K1" s="249"/>
      <c r="L1" s="249"/>
      <c r="M1" s="249"/>
      <c r="N1" s="249"/>
      <c r="O1" s="249"/>
      <c r="P1" s="249"/>
      <c r="Q1" s="249"/>
    </row>
    <row r="2" spans="1:17" ht="12.75">
      <c r="A2" s="249"/>
      <c r="B2" s="249"/>
      <c r="C2" s="249"/>
      <c r="D2" s="249"/>
      <c r="E2" s="249"/>
      <c r="F2" s="249"/>
      <c r="G2" s="249"/>
      <c r="H2" s="249"/>
      <c r="I2" s="249"/>
      <c r="J2" s="249"/>
      <c r="K2" s="249"/>
      <c r="L2" s="249"/>
      <c r="M2" s="249"/>
      <c r="N2" s="249"/>
      <c r="O2" s="249"/>
      <c r="P2" s="249"/>
      <c r="Q2" s="249"/>
    </row>
    <row r="3" spans="1:17" ht="12.75">
      <c r="A3" s="249"/>
      <c r="B3" s="249"/>
      <c r="C3" s="249"/>
      <c r="D3" s="249"/>
      <c r="E3" s="249"/>
      <c r="F3" s="249"/>
      <c r="G3" s="249"/>
      <c r="H3" s="249"/>
      <c r="I3" s="249"/>
      <c r="J3" s="249"/>
      <c r="K3" s="249"/>
      <c r="L3" s="249"/>
      <c r="M3" s="249"/>
      <c r="N3" s="249"/>
      <c r="O3" s="249"/>
      <c r="P3" s="249"/>
      <c r="Q3" s="249"/>
    </row>
    <row r="4" spans="1:17" ht="12.75">
      <c r="A4" s="249"/>
      <c r="B4" s="249"/>
      <c r="C4" s="249"/>
      <c r="D4" s="249"/>
      <c r="E4" s="249"/>
      <c r="F4" s="249"/>
      <c r="G4" s="249"/>
      <c r="H4" s="249"/>
      <c r="I4" s="249"/>
      <c r="J4" s="249"/>
      <c r="K4" s="249"/>
      <c r="L4" s="249"/>
      <c r="M4" s="249"/>
      <c r="N4" s="249"/>
      <c r="O4" s="249"/>
      <c r="P4" s="249"/>
      <c r="Q4" s="249"/>
    </row>
    <row r="5" spans="1:17" ht="12.75">
      <c r="A5" s="249"/>
      <c r="B5" s="249"/>
      <c r="C5" s="249"/>
      <c r="D5" s="249"/>
      <c r="E5" s="249"/>
      <c r="F5" s="249"/>
      <c r="G5" s="249"/>
      <c r="H5" s="249"/>
      <c r="I5" s="249"/>
      <c r="J5" s="249"/>
      <c r="K5" s="249"/>
      <c r="L5" s="249"/>
      <c r="M5" s="249"/>
      <c r="N5" s="249"/>
      <c r="O5" s="249"/>
      <c r="P5" s="249"/>
      <c r="Q5" s="249"/>
    </row>
    <row r="6" spans="1:17" ht="12.75">
      <c r="A6" s="249"/>
      <c r="B6" s="249"/>
      <c r="C6" s="249"/>
      <c r="D6" s="249"/>
      <c r="E6" s="249"/>
      <c r="F6" s="249"/>
      <c r="G6" s="249"/>
      <c r="H6" s="249"/>
      <c r="I6" s="249"/>
      <c r="J6" s="249"/>
      <c r="K6" s="249"/>
      <c r="L6" s="249"/>
      <c r="M6" s="249"/>
      <c r="N6" s="249"/>
      <c r="O6" s="249"/>
      <c r="P6" s="249"/>
      <c r="Q6" s="249"/>
    </row>
    <row r="7" spans="1:17" ht="12.75">
      <c r="A7" s="249"/>
      <c r="B7" s="249"/>
      <c r="C7" s="249"/>
      <c r="D7" s="249"/>
      <c r="E7" s="249"/>
      <c r="F7" s="249"/>
      <c r="G7" s="249"/>
      <c r="H7" s="249"/>
      <c r="I7" s="249"/>
      <c r="J7" s="249"/>
      <c r="K7" s="249"/>
      <c r="L7" s="249"/>
      <c r="M7" s="249"/>
      <c r="N7" s="249"/>
      <c r="O7" s="249"/>
      <c r="P7" s="249"/>
      <c r="Q7" s="249"/>
    </row>
    <row r="8" spans="1:17" ht="12.75">
      <c r="A8" s="1"/>
      <c r="B8" s="1"/>
      <c r="C8" s="1"/>
      <c r="D8" s="1"/>
      <c r="E8" s="1"/>
      <c r="F8" s="1"/>
      <c r="G8" s="1"/>
      <c r="H8" s="1"/>
      <c r="I8" s="1"/>
      <c r="J8" s="1"/>
      <c r="K8" s="1"/>
      <c r="L8" s="1"/>
      <c r="M8" s="1"/>
      <c r="N8" s="1"/>
      <c r="O8" s="1"/>
      <c r="P8" s="1"/>
      <c r="Q8" s="1"/>
    </row>
    <row r="9" spans="1:17" ht="12.75">
      <c r="A9" s="1"/>
      <c r="B9" s="1"/>
      <c r="C9" s="1"/>
      <c r="D9" s="1"/>
      <c r="E9" s="1"/>
      <c r="F9" s="1"/>
      <c r="G9" s="1"/>
      <c r="H9" s="1"/>
      <c r="I9" s="1"/>
      <c r="J9" s="1"/>
      <c r="K9" s="1"/>
      <c r="L9" s="1"/>
      <c r="M9" s="1"/>
      <c r="N9" s="1"/>
      <c r="O9" s="1"/>
      <c r="P9" s="1"/>
      <c r="Q9" s="1"/>
    </row>
    <row r="10" spans="1:17" ht="18">
      <c r="A10" s="95" t="s">
        <v>154</v>
      </c>
      <c r="B10" s="1"/>
      <c r="C10" s="1"/>
      <c r="D10" s="1"/>
      <c r="E10" s="1"/>
      <c r="F10" s="1"/>
      <c r="G10" s="1"/>
      <c r="H10" s="1"/>
      <c r="I10" s="1"/>
      <c r="J10" s="1"/>
      <c r="K10" s="1"/>
      <c r="L10" s="1"/>
      <c r="M10" s="1"/>
      <c r="N10" s="96"/>
      <c r="O10" s="1"/>
      <c r="P10" s="1"/>
      <c r="Q10" s="1"/>
    </row>
    <row r="11" spans="1:17" ht="15">
      <c r="A11" s="2" t="s">
        <v>171</v>
      </c>
      <c r="B11" s="1"/>
      <c r="C11" s="1"/>
      <c r="D11" s="1"/>
      <c r="E11" s="1"/>
      <c r="F11" s="1"/>
      <c r="G11" s="1"/>
      <c r="H11" s="1"/>
      <c r="I11" s="1"/>
      <c r="J11" s="1"/>
      <c r="K11" s="1"/>
      <c r="L11" s="1"/>
      <c r="M11" s="1"/>
      <c r="N11" s="1"/>
      <c r="O11" s="1"/>
      <c r="P11" s="1"/>
      <c r="Q11" s="1"/>
    </row>
    <row r="12" spans="1:17" ht="15">
      <c r="A12" s="2"/>
      <c r="B12" s="1"/>
      <c r="C12" s="1"/>
      <c r="D12" s="1"/>
      <c r="E12" s="1"/>
      <c r="F12" s="1"/>
      <c r="G12" s="1"/>
      <c r="H12" s="1"/>
      <c r="I12" s="1"/>
      <c r="J12" s="1"/>
      <c r="K12" s="1"/>
      <c r="L12" s="1"/>
      <c r="M12" s="1"/>
      <c r="N12" s="1"/>
      <c r="O12" s="1"/>
      <c r="P12" s="1"/>
      <c r="Q12" s="1"/>
    </row>
    <row r="13" spans="1:17" ht="15">
      <c r="A13" s="2" t="s">
        <v>155</v>
      </c>
      <c r="B13" s="1"/>
      <c r="C13" s="1"/>
      <c r="D13" s="1"/>
      <c r="E13" s="1"/>
      <c r="F13" s="1"/>
      <c r="G13" s="1"/>
      <c r="H13" s="1"/>
      <c r="I13" s="1"/>
      <c r="J13" s="1"/>
      <c r="K13" s="1"/>
      <c r="L13" s="1"/>
      <c r="M13" s="1"/>
      <c r="N13" s="1"/>
      <c r="O13" s="1"/>
      <c r="P13" s="1"/>
      <c r="Q13" s="1"/>
    </row>
    <row r="14" spans="1:17" ht="15">
      <c r="A14" s="2" t="s">
        <v>156</v>
      </c>
      <c r="B14" s="1"/>
      <c r="C14" s="1"/>
      <c r="D14" s="1"/>
      <c r="E14" s="1"/>
      <c r="F14" s="1"/>
      <c r="G14" s="1"/>
      <c r="H14" s="1"/>
      <c r="I14" s="1"/>
      <c r="J14" s="1"/>
      <c r="K14" s="1"/>
      <c r="L14" s="1"/>
      <c r="M14" s="1"/>
      <c r="N14" s="1"/>
      <c r="O14" s="1"/>
      <c r="P14" s="1"/>
      <c r="Q14" s="1"/>
    </row>
    <row r="15" spans="1:17" ht="15">
      <c r="A15" s="2" t="s">
        <v>157</v>
      </c>
      <c r="B15" s="1"/>
      <c r="C15" s="1"/>
      <c r="D15" s="1"/>
      <c r="E15" s="1"/>
      <c r="F15" s="1"/>
      <c r="G15" s="1"/>
      <c r="H15" s="1"/>
      <c r="I15" s="1"/>
      <c r="J15" s="1"/>
      <c r="K15" s="1"/>
      <c r="L15" s="1"/>
      <c r="M15" s="1"/>
      <c r="N15" s="1"/>
      <c r="O15" s="1"/>
      <c r="P15" s="1"/>
      <c r="Q15" s="1"/>
    </row>
    <row r="16" spans="1:17" ht="15">
      <c r="A16" s="2" t="s">
        <v>158</v>
      </c>
      <c r="B16" s="1"/>
      <c r="C16" s="1"/>
      <c r="D16" s="1"/>
      <c r="E16" s="1"/>
      <c r="F16" s="1"/>
      <c r="G16" s="1"/>
      <c r="H16" s="1"/>
      <c r="I16" s="1"/>
      <c r="J16" s="1"/>
      <c r="K16" s="1"/>
      <c r="L16" s="1"/>
      <c r="M16" s="1"/>
      <c r="N16" s="1"/>
      <c r="O16" s="1"/>
      <c r="P16" s="1"/>
      <c r="Q16" s="1"/>
    </row>
    <row r="17" spans="1:17" ht="15">
      <c r="A17" s="2" t="s">
        <v>159</v>
      </c>
      <c r="B17" s="1"/>
      <c r="C17" s="1"/>
      <c r="D17" s="1"/>
      <c r="E17" s="1"/>
      <c r="F17" s="1"/>
      <c r="G17" s="1"/>
      <c r="H17" s="1"/>
      <c r="I17" s="1"/>
      <c r="J17" s="1"/>
      <c r="K17" s="1"/>
      <c r="L17" s="1"/>
      <c r="M17" s="1"/>
      <c r="N17" s="1"/>
      <c r="O17" s="1"/>
      <c r="P17" s="1"/>
      <c r="Q17" s="1"/>
    </row>
    <row r="18" spans="1:17" ht="15">
      <c r="A18" s="2" t="s">
        <v>160</v>
      </c>
      <c r="B18" s="1"/>
      <c r="C18" s="1"/>
      <c r="D18" s="1"/>
      <c r="E18" s="1"/>
      <c r="F18" s="1"/>
      <c r="G18" s="1"/>
      <c r="H18" s="1"/>
      <c r="I18" s="1"/>
      <c r="J18" s="1"/>
      <c r="K18" s="1"/>
      <c r="L18" s="1"/>
      <c r="M18" s="1"/>
      <c r="N18" s="1"/>
      <c r="O18" s="1"/>
      <c r="P18" s="1"/>
      <c r="Q18" s="1"/>
    </row>
    <row r="19" spans="1:17" ht="15">
      <c r="A19" s="2" t="s">
        <v>161</v>
      </c>
      <c r="B19" s="1"/>
      <c r="C19" s="1"/>
      <c r="D19" s="1"/>
      <c r="E19" s="1"/>
      <c r="F19" s="1"/>
      <c r="G19" s="1"/>
      <c r="H19" s="1"/>
      <c r="I19" s="1"/>
      <c r="J19" s="1"/>
      <c r="K19" s="1"/>
      <c r="L19" s="1"/>
      <c r="M19" s="1"/>
      <c r="N19" s="1"/>
      <c r="O19" s="1"/>
      <c r="P19" s="1"/>
      <c r="Q19" s="1"/>
    </row>
    <row r="20" spans="1:17" ht="15">
      <c r="A20" s="2" t="s">
        <v>162</v>
      </c>
      <c r="B20" s="1"/>
      <c r="C20" s="1"/>
      <c r="D20" s="1"/>
      <c r="E20" s="1"/>
      <c r="F20" s="1"/>
      <c r="G20" s="1"/>
      <c r="H20" s="1"/>
      <c r="I20" s="1"/>
      <c r="J20" s="1"/>
      <c r="K20" s="1"/>
      <c r="L20" s="1"/>
      <c r="M20" s="1"/>
      <c r="N20" s="1"/>
      <c r="O20" s="1"/>
      <c r="P20" s="1"/>
      <c r="Q20" s="1"/>
    </row>
    <row r="21" spans="1:17" ht="12.75">
      <c r="A21" s="1"/>
      <c r="B21" s="1"/>
      <c r="C21" s="1"/>
      <c r="D21" s="1"/>
      <c r="E21" s="1"/>
      <c r="F21" s="1"/>
      <c r="G21" s="1"/>
      <c r="H21" s="1"/>
      <c r="I21" s="1"/>
      <c r="J21" s="1"/>
      <c r="K21" s="1"/>
      <c r="L21" s="1"/>
      <c r="M21" s="1"/>
      <c r="N21" s="1"/>
      <c r="O21" s="1"/>
      <c r="P21" s="1"/>
      <c r="Q21" s="1"/>
    </row>
    <row r="22" spans="1:17" ht="18">
      <c r="A22" s="95" t="s">
        <v>163</v>
      </c>
      <c r="B22" s="1"/>
      <c r="C22" s="1"/>
      <c r="D22" s="1"/>
      <c r="E22" s="1"/>
      <c r="F22" s="1"/>
      <c r="G22" s="1"/>
      <c r="H22" s="1"/>
      <c r="I22" s="1"/>
      <c r="J22" s="1"/>
      <c r="K22" s="1"/>
      <c r="L22" s="1"/>
      <c r="M22" s="1"/>
      <c r="N22" s="1"/>
      <c r="O22" s="1"/>
      <c r="P22" s="1"/>
      <c r="Q22" s="1"/>
    </row>
    <row r="23" spans="1:17" ht="15.75">
      <c r="A23" s="2" t="s">
        <v>167</v>
      </c>
      <c r="B23" s="1"/>
      <c r="C23" s="1"/>
      <c r="D23" s="1"/>
      <c r="E23" s="1"/>
      <c r="F23" s="1"/>
      <c r="G23" s="1"/>
      <c r="H23" s="1"/>
      <c r="I23" s="1"/>
      <c r="J23" s="1"/>
      <c r="K23" s="1"/>
      <c r="L23" s="1"/>
      <c r="M23" s="1"/>
      <c r="N23" s="1"/>
      <c r="O23" s="1"/>
      <c r="P23" s="1"/>
      <c r="Q23" s="1"/>
    </row>
    <row r="24" spans="1:17" ht="15.75">
      <c r="A24" s="2" t="s">
        <v>232</v>
      </c>
      <c r="B24" s="1"/>
      <c r="C24" s="1"/>
      <c r="D24" s="1"/>
      <c r="E24" s="1"/>
      <c r="F24" s="1"/>
      <c r="G24" s="1"/>
      <c r="H24" s="1"/>
      <c r="I24" s="1"/>
      <c r="J24" s="1"/>
      <c r="K24" s="1"/>
      <c r="L24" s="1"/>
      <c r="M24" s="1"/>
      <c r="N24" s="1"/>
      <c r="O24" s="1"/>
      <c r="P24" s="1"/>
      <c r="Q24" s="1"/>
    </row>
    <row r="25" spans="1:17" ht="15.75">
      <c r="A25" s="2" t="s">
        <v>233</v>
      </c>
      <c r="B25" s="1"/>
      <c r="C25" s="1"/>
      <c r="D25" s="1"/>
      <c r="E25" s="1"/>
      <c r="F25" s="1"/>
      <c r="G25" s="1"/>
      <c r="H25" s="1"/>
      <c r="I25" s="1"/>
      <c r="J25" s="1"/>
      <c r="K25" s="1"/>
      <c r="L25" s="1"/>
      <c r="M25" s="1"/>
      <c r="N25" s="1"/>
      <c r="O25" s="1"/>
      <c r="P25" s="1"/>
      <c r="Q25" s="1"/>
    </row>
    <row r="26" spans="1:17" ht="15">
      <c r="A26" s="2" t="s">
        <v>164</v>
      </c>
      <c r="B26" s="1"/>
      <c r="C26" s="1"/>
      <c r="D26" s="1"/>
      <c r="E26" s="1"/>
      <c r="F26" s="1"/>
      <c r="G26" s="1"/>
      <c r="H26" s="1"/>
      <c r="I26" s="1"/>
      <c r="J26" s="1"/>
      <c r="K26" s="1"/>
      <c r="L26" s="1"/>
      <c r="M26" s="1"/>
      <c r="N26" s="1"/>
      <c r="O26" s="1"/>
      <c r="P26" s="1"/>
      <c r="Q26" s="1"/>
    </row>
    <row r="27" spans="1:17" ht="15.75">
      <c r="A27" s="2" t="s">
        <v>172</v>
      </c>
      <c r="B27" s="1"/>
      <c r="C27" s="1"/>
      <c r="D27" s="1"/>
      <c r="E27" s="1"/>
      <c r="F27" s="1"/>
      <c r="G27" s="1"/>
      <c r="H27" s="1"/>
      <c r="I27" s="1"/>
      <c r="J27" s="1"/>
      <c r="K27" s="1"/>
      <c r="L27" s="1"/>
      <c r="M27" s="1"/>
      <c r="N27" s="1"/>
      <c r="O27" s="1"/>
      <c r="P27" s="1"/>
      <c r="Q27" s="1"/>
    </row>
    <row r="28" spans="1:17" ht="15.75">
      <c r="A28" s="2" t="s">
        <v>173</v>
      </c>
      <c r="B28" s="1"/>
      <c r="C28" s="1"/>
      <c r="D28" s="1"/>
      <c r="E28" s="1"/>
      <c r="F28" s="1"/>
      <c r="G28" s="1"/>
      <c r="H28" s="1"/>
      <c r="I28" s="1"/>
      <c r="J28" s="1"/>
      <c r="K28" s="1"/>
      <c r="L28" s="1"/>
      <c r="M28" s="1"/>
      <c r="N28" s="1"/>
      <c r="O28" s="1"/>
      <c r="P28" s="1"/>
      <c r="Q28" s="1"/>
    </row>
    <row r="29" spans="1:17" ht="15.75">
      <c r="A29" s="2" t="s">
        <v>165</v>
      </c>
      <c r="B29" s="1"/>
      <c r="C29" s="1"/>
      <c r="D29" s="1"/>
      <c r="E29" s="1"/>
      <c r="F29" s="1"/>
      <c r="G29" s="1"/>
      <c r="H29" s="1"/>
      <c r="I29" s="1"/>
      <c r="J29" s="1"/>
      <c r="K29" s="1"/>
      <c r="L29" s="1"/>
      <c r="M29" s="1"/>
      <c r="N29" s="1"/>
      <c r="O29" s="1"/>
      <c r="P29" s="1"/>
      <c r="Q29" s="1"/>
    </row>
    <row r="30" spans="1:17" ht="15.75">
      <c r="A30" s="2" t="s">
        <v>166</v>
      </c>
      <c r="B30" s="1"/>
      <c r="C30" s="1"/>
      <c r="D30" s="1"/>
      <c r="E30" s="1"/>
      <c r="F30" s="1"/>
      <c r="G30" s="1"/>
      <c r="H30" s="1"/>
      <c r="I30" s="1"/>
      <c r="J30" s="1"/>
      <c r="K30" s="1"/>
      <c r="L30" s="1"/>
      <c r="M30" s="1"/>
      <c r="N30" s="1"/>
      <c r="O30" s="1"/>
      <c r="P30" s="1"/>
      <c r="Q30" s="1"/>
    </row>
    <row r="31" spans="1:17" ht="12.75">
      <c r="A31" s="1"/>
      <c r="B31" s="1"/>
      <c r="C31" s="1"/>
      <c r="D31" s="1"/>
      <c r="E31" s="1"/>
      <c r="F31" s="1"/>
      <c r="G31" s="1"/>
      <c r="H31" s="1"/>
      <c r="I31" s="1"/>
      <c r="J31" s="1"/>
      <c r="K31" s="1"/>
      <c r="L31" s="1"/>
      <c r="M31" s="1"/>
      <c r="N31" s="1"/>
      <c r="O31" s="1"/>
      <c r="P31" s="1"/>
      <c r="Q31" s="1"/>
    </row>
    <row r="32" spans="1:17" ht="18">
      <c r="A32" s="95" t="s">
        <v>168</v>
      </c>
      <c r="B32" s="1"/>
      <c r="C32" s="1"/>
      <c r="D32" s="1"/>
      <c r="E32" s="1"/>
      <c r="F32" s="1"/>
      <c r="G32" s="1"/>
      <c r="H32" s="1"/>
      <c r="I32" s="1"/>
      <c r="J32" s="1"/>
      <c r="K32" s="1"/>
      <c r="L32" s="1"/>
      <c r="M32" s="1"/>
      <c r="N32" s="1"/>
      <c r="O32" s="1"/>
      <c r="P32" s="1"/>
      <c r="Q32" s="1"/>
    </row>
    <row r="33" spans="1:17" ht="15.75">
      <c r="A33" s="97" t="s">
        <v>169</v>
      </c>
      <c r="B33" s="1"/>
      <c r="C33" s="1"/>
      <c r="D33" s="1"/>
      <c r="E33" s="1"/>
      <c r="F33" s="250" t="s">
        <v>170</v>
      </c>
      <c r="G33" s="250"/>
      <c r="H33" s="250"/>
      <c r="I33" s="250"/>
      <c r="J33" s="1"/>
      <c r="K33" s="1"/>
      <c r="L33" s="1"/>
      <c r="M33" s="1"/>
      <c r="N33" s="1"/>
      <c r="O33" s="1"/>
      <c r="P33" s="1"/>
      <c r="Q33" s="1"/>
    </row>
    <row r="34" spans="1:17" ht="12.75">
      <c r="A34" s="1"/>
      <c r="B34" s="1"/>
      <c r="C34" s="1"/>
      <c r="D34" s="1"/>
      <c r="E34" s="1"/>
      <c r="F34" s="1"/>
      <c r="G34" s="1"/>
      <c r="H34" s="1"/>
      <c r="I34" s="1"/>
      <c r="J34" s="1"/>
      <c r="K34" s="1"/>
      <c r="L34" s="1"/>
      <c r="M34" s="1"/>
      <c r="N34" s="1"/>
      <c r="O34" s="1"/>
      <c r="P34" s="1"/>
      <c r="Q34" s="1"/>
    </row>
    <row r="35" spans="1:17" ht="12.75">
      <c r="A35" s="1"/>
      <c r="B35" s="1"/>
      <c r="C35" s="1"/>
      <c r="D35" s="1"/>
      <c r="E35" s="1"/>
      <c r="F35" s="1"/>
      <c r="G35" s="1"/>
      <c r="H35" s="1"/>
      <c r="I35" s="1"/>
      <c r="J35" s="1"/>
      <c r="K35" s="1"/>
      <c r="L35" s="1"/>
      <c r="M35" s="1"/>
      <c r="N35" s="1"/>
      <c r="O35" s="1"/>
      <c r="P35" s="1"/>
      <c r="Q35" s="1"/>
    </row>
    <row r="36" spans="1:17" ht="12.75">
      <c r="A36" s="1"/>
      <c r="B36" s="1"/>
      <c r="C36" s="1"/>
      <c r="D36" s="1"/>
      <c r="E36" s="1"/>
      <c r="F36" s="1"/>
      <c r="G36" s="1"/>
      <c r="H36" s="1"/>
      <c r="I36" s="1"/>
      <c r="J36" s="1"/>
      <c r="K36" s="1"/>
      <c r="L36" s="1"/>
      <c r="M36" s="1"/>
      <c r="N36" s="1"/>
      <c r="O36" s="1"/>
      <c r="P36" s="1"/>
      <c r="Q36" s="1"/>
    </row>
    <row r="37" spans="1:17" ht="12.75">
      <c r="A37" s="1"/>
      <c r="B37" s="1"/>
      <c r="C37" s="1"/>
      <c r="D37" s="1"/>
      <c r="E37" s="1"/>
      <c r="F37" s="1"/>
      <c r="G37" s="1"/>
      <c r="H37" s="1"/>
      <c r="I37" s="1"/>
      <c r="J37" s="1"/>
      <c r="K37" s="1"/>
      <c r="L37" s="1"/>
      <c r="M37" s="1"/>
      <c r="N37" s="1"/>
      <c r="O37" s="1"/>
      <c r="P37" s="1"/>
      <c r="Q37" s="1"/>
    </row>
    <row r="38" spans="1:17" ht="12.75">
      <c r="A38" s="1"/>
      <c r="B38" s="1"/>
      <c r="C38" s="1"/>
      <c r="D38" s="1"/>
      <c r="E38" s="1"/>
      <c r="F38" s="1"/>
      <c r="G38" s="1"/>
      <c r="H38" s="1"/>
      <c r="I38" s="1"/>
      <c r="J38" s="1"/>
      <c r="K38" s="1"/>
      <c r="L38" s="1"/>
      <c r="M38" s="1"/>
      <c r="N38" s="1"/>
      <c r="O38" s="1"/>
      <c r="P38" s="1"/>
      <c r="Q38" s="1"/>
    </row>
    <row r="39" spans="1:17" ht="12.75">
      <c r="A39" s="1"/>
      <c r="B39" s="1"/>
      <c r="C39" s="1"/>
      <c r="D39" s="1"/>
      <c r="E39" s="1"/>
      <c r="F39" s="1"/>
      <c r="G39" s="1"/>
      <c r="H39" s="1"/>
      <c r="I39" s="1"/>
      <c r="J39" s="1"/>
      <c r="K39" s="1"/>
      <c r="L39" s="1"/>
      <c r="M39" s="1"/>
      <c r="N39" s="1"/>
      <c r="O39" s="1"/>
      <c r="P39" s="1"/>
      <c r="Q39" s="1"/>
    </row>
    <row r="40" spans="1:17" ht="12.75">
      <c r="A40" s="1"/>
      <c r="B40" s="1"/>
      <c r="C40" s="1"/>
      <c r="D40" s="1"/>
      <c r="E40" s="1"/>
      <c r="F40" s="1"/>
      <c r="G40" s="1"/>
      <c r="H40" s="1"/>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row r="42" spans="1:17" ht="12.75">
      <c r="A42" s="1"/>
      <c r="B42" s="1"/>
      <c r="C42" s="1"/>
      <c r="D42" s="1"/>
      <c r="E42" s="1"/>
      <c r="F42" s="1"/>
      <c r="G42" s="1"/>
      <c r="H42" s="1"/>
      <c r="I42" s="1"/>
      <c r="J42" s="1"/>
      <c r="K42" s="1"/>
      <c r="L42" s="1"/>
      <c r="M42" s="1"/>
      <c r="N42" s="1"/>
      <c r="O42" s="1"/>
      <c r="P42" s="1"/>
      <c r="Q42" s="1"/>
    </row>
    <row r="43" spans="1:17" ht="12.75">
      <c r="A43" s="1"/>
      <c r="B43" s="1"/>
      <c r="C43" s="1"/>
      <c r="D43" s="1"/>
      <c r="E43" s="1"/>
      <c r="F43" s="1"/>
      <c r="G43" s="1"/>
      <c r="H43" s="1"/>
      <c r="I43" s="1"/>
      <c r="J43" s="1"/>
      <c r="K43" s="1"/>
      <c r="L43" s="1"/>
      <c r="M43" s="1"/>
      <c r="N43" s="1"/>
      <c r="O43" s="1"/>
      <c r="P43" s="1"/>
      <c r="Q43" s="1"/>
    </row>
    <row r="44" spans="1:17" ht="12.75">
      <c r="A44" s="1"/>
      <c r="B44" s="1"/>
      <c r="C44" s="1"/>
      <c r="D44" s="1"/>
      <c r="E44" s="1"/>
      <c r="F44" s="1"/>
      <c r="G44" s="1"/>
      <c r="H44" s="1"/>
      <c r="I44" s="1"/>
      <c r="J44" s="1"/>
      <c r="K44" s="1"/>
      <c r="L44" s="1"/>
      <c r="M44" s="1"/>
      <c r="N44" s="1"/>
      <c r="O44" s="1"/>
      <c r="P44" s="1"/>
      <c r="Q44" s="1"/>
    </row>
    <row r="45" spans="1:17" ht="12.75">
      <c r="A45" s="1"/>
      <c r="B45" s="1"/>
      <c r="C45" s="1"/>
      <c r="D45" s="1"/>
      <c r="E45" s="1"/>
      <c r="F45" s="1"/>
      <c r="G45" s="1"/>
      <c r="H45" s="1"/>
      <c r="I45" s="1"/>
      <c r="J45" s="1"/>
      <c r="K45" s="1"/>
      <c r="L45" s="1"/>
      <c r="M45" s="1"/>
      <c r="N45" s="1"/>
      <c r="O45" s="1"/>
      <c r="P45" s="1"/>
      <c r="Q45" s="1"/>
    </row>
    <row r="46" spans="1:17" ht="12.75">
      <c r="A46" s="1"/>
      <c r="B46" s="1"/>
      <c r="C46" s="1"/>
      <c r="D46" s="1"/>
      <c r="E46" s="1"/>
      <c r="F46" s="1"/>
      <c r="G46" s="1"/>
      <c r="H46" s="1"/>
      <c r="I46" s="1"/>
      <c r="J46" s="1"/>
      <c r="K46" s="1"/>
      <c r="L46" s="1"/>
      <c r="M46" s="1"/>
      <c r="N46" s="1"/>
      <c r="O46" s="1"/>
      <c r="P46" s="1"/>
      <c r="Q46" s="1"/>
    </row>
    <row r="47" spans="1:17" ht="12.75">
      <c r="A47" s="1"/>
      <c r="B47" s="1"/>
      <c r="C47" s="1"/>
      <c r="D47" s="1"/>
      <c r="E47" s="1"/>
      <c r="F47" s="1"/>
      <c r="G47" s="1"/>
      <c r="H47" s="1"/>
      <c r="I47" s="1"/>
      <c r="J47" s="1"/>
      <c r="K47" s="1"/>
      <c r="L47" s="1"/>
      <c r="M47" s="1"/>
      <c r="N47" s="1"/>
      <c r="O47" s="1"/>
      <c r="P47" s="1"/>
      <c r="Q47" s="1"/>
    </row>
    <row r="48" spans="1:17" ht="12.75">
      <c r="A48" s="1"/>
      <c r="B48" s="1"/>
      <c r="C48" s="1"/>
      <c r="D48" s="1"/>
      <c r="E48" s="1"/>
      <c r="F48" s="1"/>
      <c r="G48" s="1"/>
      <c r="H48" s="1"/>
      <c r="I48" s="1"/>
      <c r="J48" s="1"/>
      <c r="K48" s="1"/>
      <c r="L48" s="1"/>
      <c r="M48" s="1"/>
      <c r="N48" s="1"/>
      <c r="O48" s="1"/>
      <c r="P48" s="1"/>
      <c r="Q48" s="1"/>
    </row>
  </sheetData>
  <sheetProtection/>
  <mergeCells count="2">
    <mergeCell ref="A1:Q7"/>
    <mergeCell ref="F33:I33"/>
  </mergeCells>
  <hyperlinks>
    <hyperlink ref="F33:I33" r:id="rId1" display="www.NorthwestENERGYSTAR.com"/>
  </hyperlinks>
  <printOptions/>
  <pageMargins left="0.24" right="0.2" top="0.19" bottom="1.6" header="0.5" footer="2.18"/>
  <pageSetup horizontalDpi="600" verticalDpi="600" orientation="landscape" pageOrder="overThenDown" scale="75" r:id="rId2"/>
  <headerFooter alignWithMargins="0">
    <oddFooter>&amp;C&amp;D</oddFooter>
  </headerFooter>
</worksheet>
</file>

<file path=xl/worksheets/sheet2.xml><?xml version="1.0" encoding="utf-8"?>
<worksheet xmlns="http://schemas.openxmlformats.org/spreadsheetml/2006/main" xmlns:r="http://schemas.openxmlformats.org/officeDocument/2006/relationships">
  <sheetPr codeName="Sheet1"/>
  <dimension ref="A1:M33"/>
  <sheetViews>
    <sheetView tabSelected="1" workbookViewId="0" topLeftCell="A5">
      <selection activeCell="G9" sqref="G9"/>
    </sheetView>
  </sheetViews>
  <sheetFormatPr defaultColWidth="9.140625" defaultRowHeight="12.75"/>
  <cols>
    <col min="1" max="1" width="3.421875" style="79" customWidth="1"/>
    <col min="2" max="2" width="41.421875" style="79" customWidth="1"/>
    <col min="3" max="3" width="21.140625" style="79" customWidth="1"/>
    <col min="4" max="4" width="18.00390625" style="79" customWidth="1"/>
    <col min="5" max="5" width="3.140625" style="79" customWidth="1"/>
    <col min="6" max="6" width="39.8515625" style="79" customWidth="1"/>
    <col min="7" max="7" width="20.421875" style="79" customWidth="1"/>
    <col min="8" max="8" width="26.140625" style="79" customWidth="1"/>
    <col min="9" max="9" width="2.8515625" style="79" customWidth="1"/>
    <col min="10" max="16384" width="9.140625" style="79" customWidth="1"/>
  </cols>
  <sheetData>
    <row r="1" spans="1:9" s="89" customFormat="1" ht="13.5" thickBot="1">
      <c r="A1" s="88"/>
      <c r="B1" s="88"/>
      <c r="C1" s="88"/>
      <c r="D1" s="88"/>
      <c r="E1" s="88"/>
      <c r="F1" s="88"/>
      <c r="G1" s="88"/>
      <c r="H1" s="88"/>
      <c r="I1" s="88"/>
    </row>
    <row r="2" spans="1:9" s="89" customFormat="1" ht="12.75" customHeight="1">
      <c r="A2" s="88"/>
      <c r="B2" s="257" t="s">
        <v>149</v>
      </c>
      <c r="C2" s="258"/>
      <c r="D2" s="258"/>
      <c r="E2" s="258"/>
      <c r="F2" s="258"/>
      <c r="G2" s="258"/>
      <c r="H2" s="259"/>
      <c r="I2" s="88"/>
    </row>
    <row r="3" spans="1:9" s="89" customFormat="1" ht="27" customHeight="1">
      <c r="A3" s="88"/>
      <c r="B3" s="260"/>
      <c r="C3" s="261"/>
      <c r="D3" s="261"/>
      <c r="E3" s="261"/>
      <c r="F3" s="261"/>
      <c r="G3" s="261"/>
      <c r="H3" s="262"/>
      <c r="I3" s="88"/>
    </row>
    <row r="4" spans="1:9" ht="21.75" customHeight="1">
      <c r="A4" s="78"/>
      <c r="B4" s="254" t="s">
        <v>148</v>
      </c>
      <c r="C4" s="255"/>
      <c r="D4" s="255"/>
      <c r="E4" s="255"/>
      <c r="F4" s="255"/>
      <c r="G4" s="255"/>
      <c r="H4" s="256"/>
      <c r="I4" s="80"/>
    </row>
    <row r="5" spans="1:9" ht="31.5" customHeight="1" thickBot="1">
      <c r="A5" s="78"/>
      <c r="B5" s="251" t="s">
        <v>150</v>
      </c>
      <c r="C5" s="252"/>
      <c r="D5" s="252"/>
      <c r="E5" s="252"/>
      <c r="F5" s="252"/>
      <c r="G5" s="252"/>
      <c r="H5" s="253"/>
      <c r="I5" s="80"/>
    </row>
    <row r="6" spans="1:9" ht="24" thickBot="1">
      <c r="A6" s="78"/>
      <c r="B6" s="164"/>
      <c r="C6" s="165"/>
      <c r="D6" s="165"/>
      <c r="E6" s="165"/>
      <c r="F6" s="166"/>
      <c r="G6" s="166"/>
      <c r="H6" s="167"/>
      <c r="I6" s="90"/>
    </row>
    <row r="7" spans="1:13" ht="21" customHeight="1" thickBot="1">
      <c r="A7" s="78"/>
      <c r="B7" s="267" t="s">
        <v>0</v>
      </c>
      <c r="C7" s="268"/>
      <c r="D7" s="269"/>
      <c r="E7" s="165"/>
      <c r="F7" s="267" t="s">
        <v>139</v>
      </c>
      <c r="G7" s="268"/>
      <c r="H7" s="269"/>
      <c r="I7" s="90"/>
      <c r="M7" s="81"/>
    </row>
    <row r="8" spans="1:9" ht="20.25">
      <c r="A8" s="78"/>
      <c r="B8" s="168" t="s">
        <v>1</v>
      </c>
      <c r="C8" s="169">
        <v>2500</v>
      </c>
      <c r="D8" s="171" t="s">
        <v>2</v>
      </c>
      <c r="E8" s="170"/>
      <c r="F8" s="205"/>
      <c r="G8" s="206" t="s">
        <v>3</v>
      </c>
      <c r="H8" s="207" t="s">
        <v>143</v>
      </c>
      <c r="I8" s="88"/>
    </row>
    <row r="9" spans="1:9" ht="20.25">
      <c r="A9" s="78"/>
      <c r="B9" s="168" t="s">
        <v>5</v>
      </c>
      <c r="C9" s="172" t="s">
        <v>6</v>
      </c>
      <c r="D9" s="192"/>
      <c r="E9" s="173"/>
      <c r="F9" s="208" t="s">
        <v>7</v>
      </c>
      <c r="G9" s="93">
        <f>Calculations!B28</f>
        <v>89.15323333333332</v>
      </c>
      <c r="H9" s="174">
        <f>Calculations!C28</f>
        <v>73.82524</v>
      </c>
      <c r="I9" s="88"/>
    </row>
    <row r="10" spans="1:9" ht="20.25">
      <c r="A10" s="78"/>
      <c r="B10" s="168" t="s">
        <v>8</v>
      </c>
      <c r="C10" s="172" t="s">
        <v>9</v>
      </c>
      <c r="D10" s="192"/>
      <c r="E10" s="173"/>
      <c r="F10" s="209" t="s">
        <v>10</v>
      </c>
      <c r="G10" s="94">
        <f>Calculations!B30</f>
        <v>67.46799333333334</v>
      </c>
      <c r="H10" s="175">
        <f>Calculations!C30</f>
        <v>59.603435</v>
      </c>
      <c r="I10" s="88"/>
    </row>
    <row r="11" spans="1:9" ht="18" customHeight="1" thickBot="1">
      <c r="A11" s="78"/>
      <c r="B11" s="193" t="s">
        <v>147</v>
      </c>
      <c r="C11" s="194" t="s">
        <v>11</v>
      </c>
      <c r="D11" s="195"/>
      <c r="E11" s="173"/>
      <c r="F11" s="208"/>
      <c r="G11" s="92"/>
      <c r="H11" s="171"/>
      <c r="I11" s="88"/>
    </row>
    <row r="12" spans="1:9" ht="24.75" customHeight="1" thickBot="1">
      <c r="A12" s="78"/>
      <c r="B12" s="176"/>
      <c r="C12" s="177"/>
      <c r="D12" s="178"/>
      <c r="E12" s="173"/>
      <c r="F12" s="208" t="s">
        <v>144</v>
      </c>
      <c r="G12" s="92"/>
      <c r="H12" s="175">
        <f>Calculations!B42</f>
        <v>12.64136046985932</v>
      </c>
      <c r="I12" s="88"/>
    </row>
    <row r="13" spans="1:9" ht="21" thickBot="1">
      <c r="A13" s="78"/>
      <c r="B13" s="267" t="s">
        <v>13</v>
      </c>
      <c r="C13" s="268"/>
      <c r="D13" s="269"/>
      <c r="E13" s="173"/>
      <c r="F13" s="210" t="s">
        <v>145</v>
      </c>
      <c r="G13" s="92"/>
      <c r="H13" s="175">
        <f>Calculations!B43</f>
        <v>23.192551666666667</v>
      </c>
      <c r="I13" s="88"/>
    </row>
    <row r="14" spans="1:9" ht="41.25" thickBot="1">
      <c r="A14" s="78"/>
      <c r="B14" s="196" t="s">
        <v>15</v>
      </c>
      <c r="C14" s="197">
        <v>2000</v>
      </c>
      <c r="D14" s="198"/>
      <c r="E14" s="173"/>
      <c r="F14" s="193" t="s">
        <v>146</v>
      </c>
      <c r="G14" s="211"/>
      <c r="H14" s="212">
        <f>Calculations!B44</f>
        <v>26.79751680404793</v>
      </c>
      <c r="I14" s="88"/>
    </row>
    <row r="15" spans="1:9" ht="24.75" customHeight="1" thickBot="1">
      <c r="A15" s="78"/>
      <c r="B15" s="179"/>
      <c r="C15" s="180"/>
      <c r="D15" s="178"/>
      <c r="E15" s="173"/>
      <c r="F15" s="181"/>
      <c r="G15" s="182"/>
      <c r="H15" s="153"/>
      <c r="I15" s="88"/>
    </row>
    <row r="16" spans="1:9" ht="21" thickBot="1">
      <c r="A16" s="78"/>
      <c r="B16" s="265" t="s">
        <v>16</v>
      </c>
      <c r="C16" s="266"/>
      <c r="D16" s="247"/>
      <c r="E16" s="173"/>
      <c r="F16" s="183" t="s">
        <v>17</v>
      </c>
      <c r="G16" s="184"/>
      <c r="H16" s="185"/>
      <c r="I16" s="88"/>
    </row>
    <row r="17" spans="1:9" ht="20.25">
      <c r="A17" s="78"/>
      <c r="B17" s="199" t="s">
        <v>18</v>
      </c>
      <c r="C17" s="200">
        <v>0.065</v>
      </c>
      <c r="D17" s="201"/>
      <c r="E17" s="173"/>
      <c r="F17" s="245" t="s">
        <v>19</v>
      </c>
      <c r="G17" s="245"/>
      <c r="H17" s="246"/>
      <c r="I17" s="88"/>
    </row>
    <row r="18" spans="1:9" ht="20.25">
      <c r="A18" s="78"/>
      <c r="B18" s="168" t="s">
        <v>222</v>
      </c>
      <c r="C18" s="109">
        <v>0</v>
      </c>
      <c r="D18" s="202"/>
      <c r="E18" s="173"/>
      <c r="F18" s="188" t="s">
        <v>236</v>
      </c>
      <c r="G18" s="186"/>
      <c r="H18" s="187"/>
      <c r="I18" s="88"/>
    </row>
    <row r="19" spans="1:9" ht="20.25">
      <c r="A19" s="78"/>
      <c r="B19" s="168" t="s">
        <v>20</v>
      </c>
      <c r="C19" s="82">
        <v>30</v>
      </c>
      <c r="D19" s="171" t="s">
        <v>21</v>
      </c>
      <c r="E19" s="173"/>
      <c r="F19" s="188" t="s">
        <v>151</v>
      </c>
      <c r="G19" s="188"/>
      <c r="H19" s="189"/>
      <c r="I19" s="91"/>
    </row>
    <row r="20" spans="1:9" ht="21.75" customHeight="1">
      <c r="A20" s="78"/>
      <c r="B20" s="168" t="s">
        <v>22</v>
      </c>
      <c r="C20" s="83">
        <v>1.19</v>
      </c>
      <c r="D20" s="171" t="s">
        <v>23</v>
      </c>
      <c r="E20" s="173"/>
      <c r="F20" s="188"/>
      <c r="G20" s="188"/>
      <c r="H20" s="185"/>
      <c r="I20" s="88"/>
    </row>
    <row r="21" spans="1:9" ht="18.75" customHeight="1">
      <c r="A21" s="78"/>
      <c r="B21" s="168" t="s">
        <v>24</v>
      </c>
      <c r="C21" s="83">
        <v>0.07</v>
      </c>
      <c r="D21" s="171" t="s">
        <v>25</v>
      </c>
      <c r="E21" s="173"/>
      <c r="F21" s="190"/>
      <c r="G21" s="190"/>
      <c r="H21" s="153"/>
      <c r="I21" s="88"/>
    </row>
    <row r="22" spans="1:9" ht="19.5" customHeight="1">
      <c r="A22" s="78"/>
      <c r="B22" s="168" t="s">
        <v>26</v>
      </c>
      <c r="C22" s="83">
        <v>6</v>
      </c>
      <c r="D22" s="171" t="s">
        <v>152</v>
      </c>
      <c r="E22" s="173"/>
      <c r="F22" s="190"/>
      <c r="G22" s="190"/>
      <c r="H22" s="153"/>
      <c r="I22" s="88"/>
    </row>
    <row r="23" spans="1:9" ht="18.75" customHeight="1">
      <c r="A23" s="78"/>
      <c r="B23" s="168" t="s">
        <v>28</v>
      </c>
      <c r="C23" s="83">
        <v>10</v>
      </c>
      <c r="D23" s="171" t="s">
        <v>152</v>
      </c>
      <c r="E23" s="173"/>
      <c r="F23" s="190"/>
      <c r="G23" s="190"/>
      <c r="H23" s="153"/>
      <c r="I23" s="88"/>
    </row>
    <row r="24" spans="1:9" ht="18" customHeight="1">
      <c r="A24" s="78"/>
      <c r="B24" s="168" t="s">
        <v>29</v>
      </c>
      <c r="C24" s="84">
        <v>0.06</v>
      </c>
      <c r="D24" s="202"/>
      <c r="E24" s="173"/>
      <c r="F24" s="190"/>
      <c r="G24" s="190"/>
      <c r="H24" s="153"/>
      <c r="I24" s="88"/>
    </row>
    <row r="25" spans="1:9" ht="17.25" customHeight="1">
      <c r="A25" s="78"/>
      <c r="B25" s="168" t="s">
        <v>30</v>
      </c>
      <c r="C25" s="84">
        <v>0.04</v>
      </c>
      <c r="D25" s="202"/>
      <c r="E25" s="173"/>
      <c r="F25" s="191"/>
      <c r="G25" s="190"/>
      <c r="H25" s="153"/>
      <c r="I25" s="88"/>
    </row>
    <row r="26" spans="1:9" ht="21.75" customHeight="1" thickBot="1">
      <c r="A26" s="78"/>
      <c r="B26" s="193" t="s">
        <v>31</v>
      </c>
      <c r="C26" s="203">
        <v>5</v>
      </c>
      <c r="D26" s="204"/>
      <c r="E26" s="218"/>
      <c r="F26" s="263"/>
      <c r="G26" s="263"/>
      <c r="H26" s="264"/>
      <c r="I26" s="88"/>
    </row>
    <row r="27" spans="1:9" s="217" customFormat="1" ht="15">
      <c r="A27" s="173"/>
      <c r="B27" s="213"/>
      <c r="C27" s="214"/>
      <c r="D27" s="213"/>
      <c r="E27" s="215"/>
      <c r="F27" s="216"/>
      <c r="G27" s="216"/>
      <c r="H27" s="216"/>
      <c r="I27" s="190"/>
    </row>
    <row r="28" spans="1:9" s="87" customFormat="1" ht="36.75" customHeight="1">
      <c r="A28" s="85"/>
      <c r="B28" s="78"/>
      <c r="C28" s="78"/>
      <c r="D28" s="78"/>
      <c r="E28" s="85"/>
      <c r="F28" s="86"/>
      <c r="G28" s="86"/>
      <c r="H28" s="85"/>
      <c r="I28" s="85"/>
    </row>
    <row r="29" spans="1:9" ht="12.75" hidden="1">
      <c r="A29" s="78"/>
      <c r="B29" s="78"/>
      <c r="C29" s="78"/>
      <c r="D29" s="78"/>
      <c r="E29" s="78"/>
      <c r="F29" s="78" t="s">
        <v>11</v>
      </c>
      <c r="G29" s="78"/>
      <c r="H29" s="78"/>
      <c r="I29" s="78"/>
    </row>
    <row r="30" spans="1:9" ht="12.75" hidden="1">
      <c r="A30" s="78"/>
      <c r="B30" s="78"/>
      <c r="C30" s="78"/>
      <c r="D30" s="78"/>
      <c r="E30" s="78"/>
      <c r="F30" s="78" t="s">
        <v>32</v>
      </c>
      <c r="G30" s="78"/>
      <c r="H30" s="78"/>
      <c r="I30" s="78"/>
    </row>
    <row r="31" spans="1:9" ht="12.75" hidden="1">
      <c r="A31" s="78"/>
      <c r="B31" s="78"/>
      <c r="C31" s="78"/>
      <c r="D31" s="78"/>
      <c r="E31" s="78"/>
      <c r="F31" s="78"/>
      <c r="G31" s="78"/>
      <c r="H31" s="78"/>
      <c r="I31" s="78"/>
    </row>
    <row r="32" ht="12.75" hidden="1">
      <c r="F32" s="79" t="s">
        <v>33</v>
      </c>
    </row>
    <row r="33" ht="12.75" hidden="1">
      <c r="F33" s="79" t="s">
        <v>9</v>
      </c>
    </row>
  </sheetData>
  <sheetProtection/>
  <mergeCells count="9">
    <mergeCell ref="B5:H5"/>
    <mergeCell ref="B4:H4"/>
    <mergeCell ref="B2:H3"/>
    <mergeCell ref="F26:H26"/>
    <mergeCell ref="B16:D16"/>
    <mergeCell ref="F17:H17"/>
    <mergeCell ref="B7:D7"/>
    <mergeCell ref="F7:H7"/>
    <mergeCell ref="B13:D13"/>
  </mergeCells>
  <dataValidations count="9">
    <dataValidation type="list" allowBlank="1" showInputMessage="1" showErrorMessage="1" sqref="C12">
      <formula1>$F$29:$F$30</formula1>
    </dataValidation>
    <dataValidation type="list" allowBlank="1" showInputMessage="1" showErrorMessage="1" promptTitle="Instructions:" prompt="Choose your heating source." sqref="C10">
      <formula1>$F$32:$F$33</formula1>
    </dataValidation>
    <dataValidation type="list" allowBlank="1" showInputMessage="1" showErrorMessage="1" promptTitle="Instructions: " prompt="Choose the city that best matches your climate." sqref="C9">
      <formula1>Location</formula1>
    </dataValidation>
    <dataValidation errorStyle="warning" allowBlank="1" showInputMessage="1" showErrorMessage="1" promptTitle="Instructions:" prompt="Input home size in square feet." sqref="C8"/>
    <dataValidation type="list" allowBlank="1" showInputMessage="1" showErrorMessage="1" promptTitle="Instructions:" prompt="Select whether or not Air Conditioning is installed." sqref="C11">
      <formula1>$F$29:$F$30</formula1>
    </dataValidation>
    <dataValidation allowBlank="1" showInputMessage="1" showErrorMessage="1" promptTitle="Instructions:" prompt="Input upgrade cost of Energy Star options." sqref="C14"/>
    <dataValidation allowBlank="1" showInputMessage="1" showErrorMessage="1" promptTitle="Instructions:" prompt="Input mortgage interest rate." sqref="C17"/>
    <dataValidation allowBlank="1" showInputMessage="1" showErrorMessage="1" promptTitle="Instructions:" prompt="Input length of mortgage." sqref="C19"/>
    <dataValidation allowBlank="1" showInputMessage="1" showErrorMessage="1" promptTitle="Instructions:" prompt="Input mortgage amount." sqref="C18"/>
  </dataValidations>
  <printOptions/>
  <pageMargins left="0.75" right="0.75" top="1" bottom="1" header="0.5" footer="0.5"/>
  <pageSetup horizontalDpi="600" verticalDpi="600" orientation="landscape" scale="67" r:id="rId1"/>
  <headerFooter alignWithMargins="0">
    <oddFooter>&amp;C&amp;D</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I46"/>
  <sheetViews>
    <sheetView workbookViewId="0" topLeftCell="A4">
      <selection activeCell="C10" sqref="C10"/>
    </sheetView>
  </sheetViews>
  <sheetFormatPr defaultColWidth="9.140625" defaultRowHeight="12.75"/>
  <cols>
    <col min="1" max="1" width="3.57421875" style="0" customWidth="1"/>
    <col min="2" max="7" width="20.28125" style="0" customWidth="1"/>
    <col min="8" max="8" width="48.8515625" style="0" customWidth="1"/>
    <col min="9" max="9" width="3.28125" style="0" customWidth="1"/>
    <col min="10" max="16384" width="20.28125" style="0" customWidth="1"/>
  </cols>
  <sheetData>
    <row r="1" spans="1:9" ht="13.5" thickBot="1">
      <c r="A1" s="1"/>
      <c r="B1" s="1"/>
      <c r="C1" s="1"/>
      <c r="D1" s="1"/>
      <c r="E1" s="1"/>
      <c r="F1" s="1"/>
      <c r="G1" s="1"/>
      <c r="H1" s="1"/>
      <c r="I1" s="1"/>
    </row>
    <row r="2" spans="2:8" s="88" customFormat="1" ht="12.75" customHeight="1">
      <c r="B2" s="270" t="s">
        <v>226</v>
      </c>
      <c r="C2" s="271"/>
      <c r="D2" s="271"/>
      <c r="E2" s="271"/>
      <c r="F2" s="271"/>
      <c r="G2" s="271"/>
      <c r="H2" s="272"/>
    </row>
    <row r="3" spans="2:8" s="88" customFormat="1" ht="27" customHeight="1">
      <c r="B3" s="273"/>
      <c r="C3" s="274"/>
      <c r="D3" s="274"/>
      <c r="E3" s="274"/>
      <c r="F3" s="274"/>
      <c r="G3" s="274"/>
      <c r="H3" s="275"/>
    </row>
    <row r="4" spans="2:9" s="78" customFormat="1" ht="21.75" customHeight="1">
      <c r="B4" s="276" t="s">
        <v>227</v>
      </c>
      <c r="C4" s="277"/>
      <c r="D4" s="277"/>
      <c r="E4" s="277"/>
      <c r="F4" s="277"/>
      <c r="G4" s="277"/>
      <c r="H4" s="278"/>
      <c r="I4" s="80"/>
    </row>
    <row r="5" spans="2:9" s="78" customFormat="1" ht="31.5" customHeight="1" thickBot="1">
      <c r="B5" s="279" t="s">
        <v>228</v>
      </c>
      <c r="C5" s="280"/>
      <c r="D5" s="280"/>
      <c r="E5" s="280"/>
      <c r="F5" s="280"/>
      <c r="G5" s="280"/>
      <c r="H5" s="281"/>
      <c r="I5" s="80"/>
    </row>
    <row r="6" spans="1:9" ht="12.75">
      <c r="A6" s="1"/>
      <c r="B6" s="128"/>
      <c r="C6" s="124"/>
      <c r="D6" s="124"/>
      <c r="E6" s="124"/>
      <c r="F6" s="124"/>
      <c r="G6" s="124"/>
      <c r="H6" s="129"/>
      <c r="I6" s="1"/>
    </row>
    <row r="7" spans="1:9" ht="15.75">
      <c r="A7" s="1"/>
      <c r="B7" s="154" t="s">
        <v>174</v>
      </c>
      <c r="C7" s="122"/>
      <c r="D7" s="122"/>
      <c r="E7" s="122"/>
      <c r="F7" s="122"/>
      <c r="G7" s="122"/>
      <c r="H7" s="155"/>
      <c r="I7" s="98"/>
    </row>
    <row r="8" spans="1:9" ht="15.75">
      <c r="A8" s="1"/>
      <c r="B8" s="154" t="s">
        <v>187</v>
      </c>
      <c r="C8" s="122" t="s">
        <v>175</v>
      </c>
      <c r="D8" s="122"/>
      <c r="E8" s="122"/>
      <c r="F8" s="122"/>
      <c r="G8" s="122"/>
      <c r="H8" s="155"/>
      <c r="I8" s="98"/>
    </row>
    <row r="9" spans="1:9" ht="15.75">
      <c r="A9" s="1"/>
      <c r="B9" s="154"/>
      <c r="C9" s="242">
        <f>C10/60</f>
        <v>25.800461607105927</v>
      </c>
      <c r="D9" s="122" t="s">
        <v>176</v>
      </c>
      <c r="E9" s="122"/>
      <c r="F9" s="122"/>
      <c r="G9" s="122"/>
      <c r="H9" s="155"/>
      <c r="I9" s="98"/>
    </row>
    <row r="10" spans="1:9" ht="15.75">
      <c r="A10" s="1"/>
      <c r="B10" s="154"/>
      <c r="C10" s="242">
        <f>'Savings Detail'!H16</f>
        <v>1548.0276964263555</v>
      </c>
      <c r="D10" s="122" t="s">
        <v>224</v>
      </c>
      <c r="E10" s="156"/>
      <c r="F10" s="156"/>
      <c r="G10" s="156"/>
      <c r="H10" s="157"/>
      <c r="I10" s="98"/>
    </row>
    <row r="11" spans="1:9" ht="15.75">
      <c r="A11" s="1"/>
      <c r="B11" s="154"/>
      <c r="C11" s="122"/>
      <c r="D11" s="122"/>
      <c r="E11" s="122"/>
      <c r="F11" s="122"/>
      <c r="G11" s="122"/>
      <c r="H11" s="155"/>
      <c r="I11" s="99"/>
    </row>
    <row r="12" spans="1:9" ht="15.75">
      <c r="A12" s="1"/>
      <c r="B12" s="154" t="s">
        <v>187</v>
      </c>
      <c r="C12" s="122" t="s">
        <v>177</v>
      </c>
      <c r="D12" s="122"/>
      <c r="E12" s="122"/>
      <c r="F12" s="122"/>
      <c r="G12" s="122"/>
      <c r="H12" s="155"/>
      <c r="I12" s="98"/>
    </row>
    <row r="13" spans="1:9" ht="15.75">
      <c r="A13" s="1"/>
      <c r="B13" s="154"/>
      <c r="C13" s="158">
        <f>C9</f>
        <v>25.800461607105927</v>
      </c>
      <c r="D13" s="122" t="s">
        <v>178</v>
      </c>
      <c r="E13" s="122"/>
      <c r="F13" s="122"/>
      <c r="G13" s="122"/>
      <c r="H13" s="155"/>
      <c r="I13" s="98"/>
    </row>
    <row r="14" spans="1:9" ht="15.75">
      <c r="A14" s="1"/>
      <c r="B14" s="154"/>
      <c r="C14" s="219">
        <f>'Savings Detail'!C38/12</f>
        <v>12.641360469859322</v>
      </c>
      <c r="D14" s="220" t="s">
        <v>179</v>
      </c>
      <c r="E14" s="220"/>
      <c r="F14" s="122"/>
      <c r="G14" s="122"/>
      <c r="H14" s="155"/>
      <c r="I14" s="98"/>
    </row>
    <row r="15" spans="1:9" ht="15.75">
      <c r="A15" s="1"/>
      <c r="B15" s="154" t="s">
        <v>180</v>
      </c>
      <c r="C15" s="158">
        <f>C16/60</f>
        <v>13.159101137246603</v>
      </c>
      <c r="D15" s="122" t="s">
        <v>181</v>
      </c>
      <c r="E15" s="122"/>
      <c r="F15" s="122"/>
      <c r="G15" s="122"/>
      <c r="H15" s="155"/>
      <c r="I15" s="98"/>
    </row>
    <row r="16" spans="1:9" ht="15.75">
      <c r="A16" s="1"/>
      <c r="B16" s="154"/>
      <c r="C16" s="159">
        <f>'Savings Detail'!H39</f>
        <v>789.5460682347962</v>
      </c>
      <c r="D16" s="122" t="s">
        <v>182</v>
      </c>
      <c r="E16" s="156"/>
      <c r="F16" s="156"/>
      <c r="G16" s="156"/>
      <c r="H16" s="155"/>
      <c r="I16" s="98"/>
    </row>
    <row r="17" spans="1:9" ht="12" customHeight="1">
      <c r="A17" s="1"/>
      <c r="B17" s="154"/>
      <c r="C17" s="160"/>
      <c r="D17" s="122"/>
      <c r="E17" s="122"/>
      <c r="F17" s="122"/>
      <c r="G17" s="122"/>
      <c r="H17" s="155"/>
      <c r="I17" s="98"/>
    </row>
    <row r="18" spans="1:9" ht="33.75" customHeight="1">
      <c r="A18" s="1"/>
      <c r="B18" s="282" t="s">
        <v>183</v>
      </c>
      <c r="C18" s="283"/>
      <c r="D18" s="283"/>
      <c r="E18" s="283"/>
      <c r="F18" s="283"/>
      <c r="G18" s="283"/>
      <c r="H18" s="284"/>
      <c r="I18" s="127"/>
    </row>
    <row r="19" spans="1:9" ht="15.75">
      <c r="A19" s="1"/>
      <c r="B19" s="154"/>
      <c r="C19" s="122"/>
      <c r="D19" s="122"/>
      <c r="E19" s="122"/>
      <c r="F19" s="122"/>
      <c r="G19" s="122"/>
      <c r="H19" s="155"/>
      <c r="I19" s="98"/>
    </row>
    <row r="20" spans="1:9" ht="15.75">
      <c r="A20" s="1"/>
      <c r="B20" s="154" t="s">
        <v>184</v>
      </c>
      <c r="C20" s="122"/>
      <c r="D20" s="122"/>
      <c r="E20" s="122"/>
      <c r="F20" s="122"/>
      <c r="G20" s="161"/>
      <c r="H20" s="155"/>
      <c r="I20" s="99"/>
    </row>
    <row r="21" spans="1:9" ht="15.75">
      <c r="A21" s="1"/>
      <c r="B21" s="154" t="s">
        <v>225</v>
      </c>
      <c r="C21" s="121">
        <f>Inputs!C8</f>
        <v>2500</v>
      </c>
      <c r="D21" s="161"/>
      <c r="E21" s="161"/>
      <c r="F21" s="161"/>
      <c r="G21" s="161"/>
      <c r="H21" s="155"/>
      <c r="I21" s="99"/>
    </row>
    <row r="22" spans="1:9" ht="15.75">
      <c r="A22" s="1"/>
      <c r="B22" s="154" t="s">
        <v>8</v>
      </c>
      <c r="C22" s="123" t="str">
        <f>Inputs!C10</f>
        <v>Gas Furnace</v>
      </c>
      <c r="D22" s="121"/>
      <c r="E22" s="122"/>
      <c r="F22" s="123"/>
      <c r="G22" s="161"/>
      <c r="H22" s="155"/>
      <c r="I22" s="99"/>
    </row>
    <row r="23" spans="1:9" ht="15.75">
      <c r="A23" s="1"/>
      <c r="B23" s="154" t="s">
        <v>186</v>
      </c>
      <c r="C23" s="123" t="str">
        <f>Inputs!C11</f>
        <v>Yes</v>
      </c>
      <c r="D23" s="161"/>
      <c r="E23" s="161"/>
      <c r="F23" s="161"/>
      <c r="G23" s="161"/>
      <c r="H23" s="155"/>
      <c r="I23" s="99"/>
    </row>
    <row r="24" spans="1:9" ht="15.75">
      <c r="A24" s="1"/>
      <c r="B24" s="154" t="s">
        <v>185</v>
      </c>
      <c r="C24" s="123" t="str">
        <f>Inputs!C9</f>
        <v>Portland</v>
      </c>
      <c r="D24" s="125"/>
      <c r="E24" s="122"/>
      <c r="F24" s="122"/>
      <c r="G24" s="161"/>
      <c r="H24" s="155"/>
      <c r="I24" s="99"/>
    </row>
    <row r="25" spans="1:9" ht="12.75">
      <c r="A25" s="1"/>
      <c r="B25" s="162"/>
      <c r="C25" s="161"/>
      <c r="D25" s="161"/>
      <c r="E25" s="161"/>
      <c r="F25" s="161"/>
      <c r="G25" s="161"/>
      <c r="H25" s="163"/>
      <c r="I25" s="1"/>
    </row>
    <row r="26" spans="1:9" ht="12.75">
      <c r="A26" s="1"/>
      <c r="B26" s="128"/>
      <c r="C26" s="124"/>
      <c r="D26" s="124"/>
      <c r="E26" s="124"/>
      <c r="F26" s="124"/>
      <c r="G26" s="124"/>
      <c r="H26" s="129"/>
      <c r="I26" s="1"/>
    </row>
    <row r="27" spans="1:9" ht="12.75">
      <c r="A27" s="1"/>
      <c r="B27" s="128"/>
      <c r="C27" s="124"/>
      <c r="D27" s="124"/>
      <c r="E27" s="124"/>
      <c r="F27" s="124"/>
      <c r="G27" s="124"/>
      <c r="H27" s="129"/>
      <c r="I27" s="1"/>
    </row>
    <row r="28" spans="1:9" ht="12.75">
      <c r="A28" s="1"/>
      <c r="B28" s="128"/>
      <c r="C28" s="124"/>
      <c r="D28" s="124"/>
      <c r="E28" s="124"/>
      <c r="F28" s="124"/>
      <c r="G28" s="124"/>
      <c r="H28" s="129"/>
      <c r="I28" s="1"/>
    </row>
    <row r="29" spans="1:9" ht="12.75">
      <c r="A29" s="1"/>
      <c r="B29" s="128"/>
      <c r="C29" s="124"/>
      <c r="D29" s="124"/>
      <c r="E29" s="124"/>
      <c r="F29" s="124"/>
      <c r="G29" s="124"/>
      <c r="H29" s="129"/>
      <c r="I29" s="1"/>
    </row>
    <row r="30" spans="1:9" ht="12.75">
      <c r="A30" s="1"/>
      <c r="B30" s="128"/>
      <c r="C30" s="124"/>
      <c r="D30" s="124"/>
      <c r="E30" s="124"/>
      <c r="F30" s="124"/>
      <c r="G30" s="124"/>
      <c r="H30" s="129"/>
      <c r="I30" s="1"/>
    </row>
    <row r="31" spans="1:9" ht="12.75">
      <c r="A31" s="1"/>
      <c r="B31" s="128"/>
      <c r="C31" s="124"/>
      <c r="D31" s="124"/>
      <c r="E31" s="124"/>
      <c r="F31" s="124"/>
      <c r="G31" s="124"/>
      <c r="H31" s="129"/>
      <c r="I31" s="1"/>
    </row>
    <row r="32" spans="1:9" ht="12.75">
      <c r="A32" s="1"/>
      <c r="B32" s="128"/>
      <c r="C32" s="124"/>
      <c r="D32" s="124"/>
      <c r="E32" s="124"/>
      <c r="F32" s="124"/>
      <c r="G32" s="124"/>
      <c r="H32" s="129"/>
      <c r="I32" s="1"/>
    </row>
    <row r="33" spans="1:9" ht="12.75">
      <c r="A33" s="1"/>
      <c r="B33" s="128"/>
      <c r="C33" s="124"/>
      <c r="D33" s="124"/>
      <c r="E33" s="124"/>
      <c r="F33" s="124"/>
      <c r="G33" s="124"/>
      <c r="H33" s="129"/>
      <c r="I33" s="1"/>
    </row>
    <row r="34" spans="1:9" ht="12.75">
      <c r="A34" s="1"/>
      <c r="B34" s="128"/>
      <c r="C34" s="124"/>
      <c r="D34" s="124"/>
      <c r="E34" s="124"/>
      <c r="F34" s="124"/>
      <c r="G34" s="124"/>
      <c r="H34" s="129"/>
      <c r="I34" s="1"/>
    </row>
    <row r="35" spans="1:9" ht="12.75">
      <c r="A35" s="1"/>
      <c r="B35" s="128"/>
      <c r="C35" s="124"/>
      <c r="D35" s="124"/>
      <c r="E35" s="124"/>
      <c r="F35" s="124"/>
      <c r="G35" s="124"/>
      <c r="H35" s="129"/>
      <c r="I35" s="1"/>
    </row>
    <row r="36" spans="1:9" ht="13.5" thickBot="1">
      <c r="A36" s="1"/>
      <c r="B36" s="101"/>
      <c r="C36" s="102"/>
      <c r="D36" s="102"/>
      <c r="E36" s="102"/>
      <c r="F36" s="102"/>
      <c r="G36" s="102"/>
      <c r="H36" s="103"/>
      <c r="I36" s="1"/>
    </row>
    <row r="37" spans="1:9" ht="12.75">
      <c r="A37" s="1"/>
      <c r="B37" s="1"/>
      <c r="C37" s="1"/>
      <c r="D37" s="1"/>
      <c r="E37" s="1"/>
      <c r="F37" s="1"/>
      <c r="G37" s="1"/>
      <c r="H37" s="1"/>
      <c r="I37" s="1"/>
    </row>
    <row r="38" spans="1:9" ht="12.75">
      <c r="A38" s="1"/>
      <c r="B38" s="1"/>
      <c r="C38" s="1"/>
      <c r="D38" s="1"/>
      <c r="E38" s="1"/>
      <c r="F38" s="1"/>
      <c r="G38" s="1"/>
      <c r="H38" s="1"/>
      <c r="I38" s="1"/>
    </row>
    <row r="39" spans="1:9" ht="12.75">
      <c r="A39" s="1"/>
      <c r="B39" s="1"/>
      <c r="C39" s="1"/>
      <c r="D39" s="1"/>
      <c r="E39" s="1"/>
      <c r="F39" s="1"/>
      <c r="G39" s="1"/>
      <c r="H39" s="1"/>
      <c r="I39" s="1"/>
    </row>
    <row r="40" spans="1:9" ht="12.75">
      <c r="A40" s="1"/>
      <c r="B40" s="1"/>
      <c r="C40" s="1"/>
      <c r="D40" s="1"/>
      <c r="E40" s="1"/>
      <c r="F40" s="1"/>
      <c r="G40" s="1"/>
      <c r="H40" s="1"/>
      <c r="I40" s="1"/>
    </row>
    <row r="41" spans="1:9" ht="12.75">
      <c r="A41" s="1"/>
      <c r="B41" s="1"/>
      <c r="C41" s="1"/>
      <c r="D41" s="1"/>
      <c r="E41" s="1"/>
      <c r="F41" s="1"/>
      <c r="G41" s="1"/>
      <c r="H41" s="1"/>
      <c r="I41" s="1"/>
    </row>
    <row r="42" spans="1:9" ht="12.75">
      <c r="A42" s="1"/>
      <c r="B42" s="1"/>
      <c r="C42" s="1"/>
      <c r="D42" s="1"/>
      <c r="E42" s="1"/>
      <c r="F42" s="1"/>
      <c r="G42" s="1"/>
      <c r="H42" s="1"/>
      <c r="I42" s="1"/>
    </row>
    <row r="43" spans="1:9" ht="12.75">
      <c r="A43" s="1"/>
      <c r="B43" s="1"/>
      <c r="C43" s="1"/>
      <c r="D43" s="1"/>
      <c r="E43" s="1"/>
      <c r="F43" s="1"/>
      <c r="G43" s="1"/>
      <c r="H43" s="1"/>
      <c r="I43" s="1"/>
    </row>
    <row r="44" spans="1:9" ht="12.75">
      <c r="A44" s="1"/>
      <c r="B44" s="1"/>
      <c r="C44" s="1"/>
      <c r="D44" s="1"/>
      <c r="E44" s="1"/>
      <c r="F44" s="1"/>
      <c r="G44" s="1"/>
      <c r="H44" s="1"/>
      <c r="I44" s="1"/>
    </row>
    <row r="45" spans="1:9" ht="12.75">
      <c r="A45" s="1"/>
      <c r="B45" s="1"/>
      <c r="C45" s="1"/>
      <c r="D45" s="1"/>
      <c r="E45" s="1"/>
      <c r="F45" s="1"/>
      <c r="G45" s="1"/>
      <c r="H45" s="1"/>
      <c r="I45" s="1"/>
    </row>
    <row r="46" spans="1:9" ht="12.75">
      <c r="A46" s="1"/>
      <c r="B46" s="1"/>
      <c r="F46" s="1"/>
      <c r="G46" s="1"/>
      <c r="H46" s="1"/>
      <c r="I46" s="1"/>
    </row>
  </sheetData>
  <mergeCells count="4">
    <mergeCell ref="B2:H3"/>
    <mergeCell ref="B4:H4"/>
    <mergeCell ref="B5:H5"/>
    <mergeCell ref="B18:H18"/>
  </mergeCells>
  <printOptions/>
  <pageMargins left="0.75" right="0.75" top="1" bottom="1" header="0.5" footer="0.5"/>
  <pageSetup horizontalDpi="600" verticalDpi="600" orientation="landscape" scale="63" r:id="rId1"/>
</worksheet>
</file>

<file path=xl/worksheets/sheet4.xml><?xml version="1.0" encoding="utf-8"?>
<worksheet xmlns="http://schemas.openxmlformats.org/spreadsheetml/2006/main" xmlns:r="http://schemas.openxmlformats.org/officeDocument/2006/relationships">
  <dimension ref="A1:Q44"/>
  <sheetViews>
    <sheetView workbookViewId="0" topLeftCell="A10">
      <selection activeCell="H41" sqref="H41"/>
    </sheetView>
  </sheetViews>
  <sheetFormatPr defaultColWidth="9.140625" defaultRowHeight="12.75"/>
  <cols>
    <col min="1" max="1" width="1.8515625" style="0" customWidth="1"/>
    <col min="2" max="2" width="15.140625" style="0" customWidth="1"/>
    <col min="3" max="3" width="12.421875" style="0" customWidth="1"/>
    <col min="4" max="4" width="14.140625" style="0" bestFit="1" customWidth="1"/>
    <col min="5" max="5" width="11.140625" style="0" bestFit="1" customWidth="1"/>
    <col min="6" max="7" width="11.00390625" style="0" bestFit="1" customWidth="1"/>
    <col min="8" max="8" width="11.421875" style="0" customWidth="1"/>
    <col min="9" max="9" width="9.7109375" style="0" bestFit="1" customWidth="1"/>
    <col min="10" max="10" width="10.140625" style="0" bestFit="1" customWidth="1"/>
    <col min="11" max="11" width="9.7109375" style="0" bestFit="1" customWidth="1"/>
    <col min="12" max="12" width="9.8515625" style="0" bestFit="1" customWidth="1"/>
    <col min="13" max="13" width="9.7109375" style="0" bestFit="1" customWidth="1"/>
    <col min="14" max="14" width="11.8515625" style="0" bestFit="1" customWidth="1"/>
    <col min="15" max="15" width="13.8515625" style="0" customWidth="1"/>
    <col min="16" max="16" width="12.140625" style="0" customWidth="1"/>
    <col min="17" max="17" width="2.140625" style="0" customWidth="1"/>
  </cols>
  <sheetData>
    <row r="1" spans="1:17" ht="13.5" customHeight="1" thickBot="1">
      <c r="A1" s="1"/>
      <c r="B1" s="1"/>
      <c r="C1" s="1"/>
      <c r="D1" s="1"/>
      <c r="E1" s="1"/>
      <c r="F1" s="1"/>
      <c r="G1" s="1"/>
      <c r="H1" s="1"/>
      <c r="I1" s="1"/>
      <c r="J1" s="1"/>
      <c r="K1" s="1"/>
      <c r="L1" s="1"/>
      <c r="M1" s="1"/>
      <c r="N1" s="1"/>
      <c r="O1" s="1"/>
      <c r="P1" s="1"/>
      <c r="Q1" s="1"/>
    </row>
    <row r="2" spans="1:17" ht="14.25" customHeight="1">
      <c r="A2" s="1"/>
      <c r="B2" s="291"/>
      <c r="C2" s="292"/>
      <c r="D2" s="292"/>
      <c r="E2" s="292"/>
      <c r="F2" s="292"/>
      <c r="G2" s="292"/>
      <c r="H2" s="292"/>
      <c r="I2" s="292"/>
      <c r="J2" s="292"/>
      <c r="K2" s="292"/>
      <c r="L2" s="292"/>
      <c r="M2" s="292"/>
      <c r="N2" s="292"/>
      <c r="O2" s="292"/>
      <c r="P2" s="293"/>
      <c r="Q2" s="1"/>
    </row>
    <row r="3" spans="1:17" ht="22.5" customHeight="1">
      <c r="A3" s="1"/>
      <c r="B3" s="294" t="s">
        <v>229</v>
      </c>
      <c r="C3" s="295"/>
      <c r="D3" s="295"/>
      <c r="E3" s="295"/>
      <c r="F3" s="295"/>
      <c r="G3" s="295"/>
      <c r="H3" s="295"/>
      <c r="I3" s="295"/>
      <c r="J3" s="295"/>
      <c r="K3" s="295"/>
      <c r="L3" s="295"/>
      <c r="M3" s="295"/>
      <c r="N3" s="295"/>
      <c r="O3" s="295"/>
      <c r="P3" s="296"/>
      <c r="Q3" s="1"/>
    </row>
    <row r="4" spans="1:17" ht="30" customHeight="1">
      <c r="A4" s="1"/>
      <c r="B4" s="294" t="s">
        <v>230</v>
      </c>
      <c r="C4" s="297"/>
      <c r="D4" s="297"/>
      <c r="E4" s="297"/>
      <c r="F4" s="297"/>
      <c r="G4" s="297"/>
      <c r="H4" s="297"/>
      <c r="I4" s="297"/>
      <c r="J4" s="297"/>
      <c r="K4" s="297"/>
      <c r="L4" s="297"/>
      <c r="M4" s="297"/>
      <c r="N4" s="297"/>
      <c r="O4" s="297"/>
      <c r="P4" s="298"/>
      <c r="Q4" s="1"/>
    </row>
    <row r="5" spans="1:17" ht="25.5" customHeight="1" thickBot="1">
      <c r="A5" s="1"/>
      <c r="B5" s="299" t="s">
        <v>231</v>
      </c>
      <c r="C5" s="300"/>
      <c r="D5" s="300"/>
      <c r="E5" s="300"/>
      <c r="F5" s="300"/>
      <c r="G5" s="300"/>
      <c r="H5" s="300"/>
      <c r="I5" s="300"/>
      <c r="J5" s="300"/>
      <c r="K5" s="300"/>
      <c r="L5" s="300"/>
      <c r="M5" s="300"/>
      <c r="N5" s="300"/>
      <c r="O5" s="300"/>
      <c r="P5" s="301"/>
      <c r="Q5" s="1"/>
    </row>
    <row r="6" spans="1:17" ht="12.75">
      <c r="A6" s="1"/>
      <c r="B6" s="128"/>
      <c r="C6" s="124"/>
      <c r="D6" s="124"/>
      <c r="E6" s="124"/>
      <c r="F6" s="124"/>
      <c r="G6" s="124"/>
      <c r="H6" s="124"/>
      <c r="I6" s="124"/>
      <c r="J6" s="124"/>
      <c r="K6" s="124"/>
      <c r="L6" s="124"/>
      <c r="M6" s="124"/>
      <c r="N6" s="124"/>
      <c r="O6" s="124"/>
      <c r="P6" s="129"/>
      <c r="Q6" s="1"/>
    </row>
    <row r="7" spans="1:17" ht="12.75">
      <c r="A7" s="1"/>
      <c r="B7" s="104"/>
      <c r="C7" s="105"/>
      <c r="D7" s="105"/>
      <c r="E7" s="105"/>
      <c r="F7" s="105"/>
      <c r="G7" s="105"/>
      <c r="H7" s="105"/>
      <c r="I7" s="105"/>
      <c r="J7" s="105"/>
      <c r="K7" s="105"/>
      <c r="L7" s="105"/>
      <c r="M7" s="105"/>
      <c r="N7" s="105"/>
      <c r="O7" s="105"/>
      <c r="P7" s="106"/>
      <c r="Q7" s="1"/>
    </row>
    <row r="8" spans="1:17" ht="12.75">
      <c r="A8" s="124"/>
      <c r="B8" s="288" t="s">
        <v>188</v>
      </c>
      <c r="C8" s="289"/>
      <c r="D8" s="290"/>
      <c r="E8" s="110"/>
      <c r="F8" s="111"/>
      <c r="G8" s="111"/>
      <c r="H8" s="111"/>
      <c r="I8" s="111"/>
      <c r="J8" s="110"/>
      <c r="K8" s="110"/>
      <c r="L8" s="110"/>
      <c r="M8" s="110"/>
      <c r="N8" s="110"/>
      <c r="O8" s="112"/>
      <c r="P8" s="107"/>
      <c r="Q8" s="1"/>
    </row>
    <row r="9" spans="1:17" ht="12.75">
      <c r="A9" s="124"/>
      <c r="B9" s="130" t="s">
        <v>189</v>
      </c>
      <c r="C9" s="116"/>
      <c r="D9" s="225">
        <f>+Calculations!B33-Calculations!C33</f>
        <v>1348.210000000001</v>
      </c>
      <c r="E9" s="117"/>
      <c r="F9" s="117"/>
      <c r="G9" s="117"/>
      <c r="H9" s="117"/>
      <c r="I9" s="117"/>
      <c r="J9" s="117"/>
      <c r="K9" s="117"/>
      <c r="L9" s="117"/>
      <c r="M9" s="117"/>
      <c r="N9" s="117"/>
      <c r="O9" s="100"/>
      <c r="P9" s="113"/>
      <c r="Q9" s="1"/>
    </row>
    <row r="10" spans="1:17" ht="12.75">
      <c r="A10" s="124"/>
      <c r="B10" s="147" t="s">
        <v>190</v>
      </c>
      <c r="C10" s="135"/>
      <c r="D10" s="226">
        <f>+Calculations!B32-Calculations!C32</f>
        <v>154.56799999999998</v>
      </c>
      <c r="E10" s="117"/>
      <c r="F10" s="117"/>
      <c r="G10" s="117"/>
      <c r="H10" s="117"/>
      <c r="I10" s="117"/>
      <c r="J10" s="117"/>
      <c r="K10" s="117"/>
      <c r="L10" s="117"/>
      <c r="M10" s="117"/>
      <c r="N10" s="117"/>
      <c r="O10" s="100"/>
      <c r="P10" s="113"/>
      <c r="Q10" s="1"/>
    </row>
    <row r="11" spans="1:17" ht="12.75">
      <c r="A11" s="124"/>
      <c r="B11" s="131"/>
      <c r="C11" s="117"/>
      <c r="D11" s="117"/>
      <c r="E11" s="117"/>
      <c r="F11" s="117"/>
      <c r="G11" s="117"/>
      <c r="H11" s="117"/>
      <c r="I11" s="117"/>
      <c r="J11" s="117"/>
      <c r="K11" s="117"/>
      <c r="L11" s="117"/>
      <c r="M11" s="117"/>
      <c r="N11" s="117"/>
      <c r="O11" s="100"/>
      <c r="P11" s="113"/>
      <c r="Q11" s="1"/>
    </row>
    <row r="12" spans="1:17" ht="12.75">
      <c r="A12" s="1"/>
      <c r="B12" s="285" t="s">
        <v>223</v>
      </c>
      <c r="C12" s="286"/>
      <c r="D12" s="287"/>
      <c r="E12" s="144"/>
      <c r="F12" s="144"/>
      <c r="G12" s="144"/>
      <c r="H12" s="142" t="s">
        <v>191</v>
      </c>
      <c r="I12" s="142"/>
      <c r="J12" s="133"/>
      <c r="K12" s="133"/>
      <c r="L12" s="133"/>
      <c r="M12" s="133"/>
      <c r="N12" s="142" t="s">
        <v>192</v>
      </c>
      <c r="O12" s="142" t="s">
        <v>193</v>
      </c>
      <c r="P12" s="113"/>
      <c r="Q12" s="1"/>
    </row>
    <row r="13" spans="1:17" ht="12.75">
      <c r="A13" s="1"/>
      <c r="B13" s="152"/>
      <c r="C13" s="146" t="s">
        <v>194</v>
      </c>
      <c r="D13" s="146" t="s">
        <v>195</v>
      </c>
      <c r="E13" s="143" t="s">
        <v>196</v>
      </c>
      <c r="F13" s="143" t="s">
        <v>197</v>
      </c>
      <c r="G13" s="143" t="s">
        <v>198</v>
      </c>
      <c r="H13" s="136" t="s">
        <v>101</v>
      </c>
      <c r="I13" s="136" t="s">
        <v>199</v>
      </c>
      <c r="J13" s="143" t="s">
        <v>200</v>
      </c>
      <c r="K13" s="143" t="s">
        <v>201</v>
      </c>
      <c r="L13" s="143" t="s">
        <v>202</v>
      </c>
      <c r="M13" s="143" t="s">
        <v>203</v>
      </c>
      <c r="N13" s="136" t="s">
        <v>101</v>
      </c>
      <c r="O13" s="136" t="s">
        <v>101</v>
      </c>
      <c r="P13" s="113"/>
      <c r="Q13" s="1"/>
    </row>
    <row r="14" spans="1:17" ht="12.75">
      <c r="A14" s="1"/>
      <c r="B14" s="222" t="s">
        <v>204</v>
      </c>
      <c r="C14" s="227">
        <f>D9*D21</f>
        <v>94.37470000000008</v>
      </c>
      <c r="D14" s="227">
        <f>C14*(1+D23)</f>
        <v>98.14968800000008</v>
      </c>
      <c r="E14" s="227">
        <f>D14*(1+D23)</f>
        <v>102.07567552000009</v>
      </c>
      <c r="F14" s="227">
        <f>E14*(1+D23)</f>
        <v>106.15870254080009</v>
      </c>
      <c r="G14" s="227">
        <f>F14*(1+D23)</f>
        <v>110.4050506424321</v>
      </c>
      <c r="H14" s="230">
        <f>SUM(C14:G14)</f>
        <v>511.1638167032325</v>
      </c>
      <c r="I14" s="230">
        <f>G14*(1+D23)</f>
        <v>114.82125266812939</v>
      </c>
      <c r="J14" s="230">
        <f>I14*(1+D23)</f>
        <v>119.41410277485457</v>
      </c>
      <c r="K14" s="230">
        <f>J14*(1+D23)</f>
        <v>124.19066688584876</v>
      </c>
      <c r="L14" s="230">
        <f>K14*(1+D23)</f>
        <v>129.1582935612827</v>
      </c>
      <c r="M14" s="230">
        <f>L14*(1+D23)</f>
        <v>134.32462530373402</v>
      </c>
      <c r="N14" s="230">
        <f>SUM(H14:M14)</f>
        <v>1133.0727578970818</v>
      </c>
      <c r="O14" s="230">
        <f>-FV(D23,D33,C14)</f>
        <v>5292.999174739911</v>
      </c>
      <c r="P14" s="113"/>
      <c r="Q14" s="1"/>
    </row>
    <row r="15" spans="1:17" ht="12.75">
      <c r="A15" s="1"/>
      <c r="B15" s="221" t="s">
        <v>205</v>
      </c>
      <c r="C15" s="228">
        <f>D10*D20</f>
        <v>183.93591999999998</v>
      </c>
      <c r="D15" s="228">
        <f>C15*(1+D22)</f>
        <v>194.97207519999998</v>
      </c>
      <c r="E15" s="228">
        <f>D15*(1+D22)</f>
        <v>206.67039971199998</v>
      </c>
      <c r="F15" s="228">
        <f>E15*(1+D22)</f>
        <v>219.07062369471998</v>
      </c>
      <c r="G15" s="228">
        <f>F15*(1+D22)</f>
        <v>232.2148611164032</v>
      </c>
      <c r="H15" s="231">
        <f>SUM(C15:G15)</f>
        <v>1036.863879723123</v>
      </c>
      <c r="I15" s="231">
        <f>G15*(1+D22)</f>
        <v>246.1477527833874</v>
      </c>
      <c r="J15" s="231">
        <f>I15*(1+D22)</f>
        <v>260.9166179503907</v>
      </c>
      <c r="K15" s="231">
        <f>J15*(1+D22)</f>
        <v>276.5716150274141</v>
      </c>
      <c r="L15" s="231">
        <f>K15*(1+D22)</f>
        <v>293.16591192905895</v>
      </c>
      <c r="M15" s="231">
        <f>L15*(1+D22)</f>
        <v>310.7558666448025</v>
      </c>
      <c r="N15" s="231">
        <f>SUM(H15:M15)</f>
        <v>2424.4216440581768</v>
      </c>
      <c r="O15" s="231">
        <f>-FV(D22,D33,C15)</f>
        <v>14541.640215027992</v>
      </c>
      <c r="P15" s="113"/>
      <c r="Q15" s="1"/>
    </row>
    <row r="16" spans="1:17" ht="12.75">
      <c r="A16" s="1"/>
      <c r="B16" s="147" t="s">
        <v>101</v>
      </c>
      <c r="C16" s="229">
        <f aca="true" t="shared" si="0" ref="C16:O16">SUM(C14:C15)</f>
        <v>278.3106200000001</v>
      </c>
      <c r="D16" s="229">
        <f t="shared" si="0"/>
        <v>293.12176320000003</v>
      </c>
      <c r="E16" s="229">
        <f t="shared" si="0"/>
        <v>308.74607523200007</v>
      </c>
      <c r="F16" s="229">
        <f t="shared" si="0"/>
        <v>325.2293262355201</v>
      </c>
      <c r="G16" s="229">
        <f t="shared" si="0"/>
        <v>342.6199117588353</v>
      </c>
      <c r="H16" s="232">
        <f t="shared" si="0"/>
        <v>1548.0276964263555</v>
      </c>
      <c r="I16" s="232">
        <f t="shared" si="0"/>
        <v>360.9690054515168</v>
      </c>
      <c r="J16" s="232">
        <f t="shared" si="0"/>
        <v>380.3307207252452</v>
      </c>
      <c r="K16" s="232">
        <f t="shared" si="0"/>
        <v>400.7622819132629</v>
      </c>
      <c r="L16" s="232">
        <f t="shared" si="0"/>
        <v>422.3242054903417</v>
      </c>
      <c r="M16" s="232">
        <f t="shared" si="0"/>
        <v>445.0804919485365</v>
      </c>
      <c r="N16" s="232">
        <f t="shared" si="0"/>
        <v>3557.4944019552586</v>
      </c>
      <c r="O16" s="232">
        <f t="shared" si="0"/>
        <v>19834.6393897679</v>
      </c>
      <c r="P16" s="113"/>
      <c r="Q16" s="1"/>
    </row>
    <row r="17" spans="1:17" ht="12.75">
      <c r="A17" s="1"/>
      <c r="B17" s="131"/>
      <c r="C17" s="119"/>
      <c r="D17" s="117"/>
      <c r="E17" s="119"/>
      <c r="F17" s="117"/>
      <c r="G17" s="119"/>
      <c r="H17" s="117"/>
      <c r="I17" s="117"/>
      <c r="J17" s="119"/>
      <c r="K17" s="117"/>
      <c r="L17" s="119"/>
      <c r="M17" s="117"/>
      <c r="N17" s="117"/>
      <c r="O17" s="100"/>
      <c r="P17" s="113"/>
      <c r="Q17" s="1"/>
    </row>
    <row r="18" spans="1:17" ht="12.75">
      <c r="A18" s="1"/>
      <c r="B18" s="148" t="s">
        <v>206</v>
      </c>
      <c r="C18" s="137"/>
      <c r="D18" s="138"/>
      <c r="E18" s="117"/>
      <c r="F18" s="117"/>
      <c r="G18" s="117"/>
      <c r="H18" s="117"/>
      <c r="I18" s="117"/>
      <c r="J18" s="117"/>
      <c r="K18" s="117"/>
      <c r="L18" s="117"/>
      <c r="M18" s="117"/>
      <c r="N18" s="117"/>
      <c r="O18" s="100"/>
      <c r="P18" s="113"/>
      <c r="Q18" s="1"/>
    </row>
    <row r="19" spans="1:17" ht="12.75">
      <c r="A19" s="1"/>
      <c r="B19" s="130" t="s">
        <v>207</v>
      </c>
      <c r="C19" s="119"/>
      <c r="D19" s="233" t="str">
        <f>Inputs!C9</f>
        <v>Portland</v>
      </c>
      <c r="E19" s="117"/>
      <c r="F19" s="117"/>
      <c r="G19" s="117"/>
      <c r="H19" s="117"/>
      <c r="I19" s="117"/>
      <c r="J19" s="117"/>
      <c r="K19" s="117"/>
      <c r="L19" s="117"/>
      <c r="M19" s="117"/>
      <c r="N19" s="117"/>
      <c r="O19" s="100"/>
      <c r="P19" s="113"/>
      <c r="Q19" s="1"/>
    </row>
    <row r="20" spans="1:17" ht="12.75">
      <c r="A20" s="1"/>
      <c r="B20" s="130" t="s">
        <v>208</v>
      </c>
      <c r="C20" s="119"/>
      <c r="D20" s="234">
        <f>Inputs!C20</f>
        <v>1.19</v>
      </c>
      <c r="E20" s="117"/>
      <c r="F20" s="117"/>
      <c r="G20" s="117"/>
      <c r="H20" s="117"/>
      <c r="I20" s="117"/>
      <c r="J20" s="117"/>
      <c r="K20" s="117"/>
      <c r="L20" s="117"/>
      <c r="M20" s="117"/>
      <c r="N20" s="117"/>
      <c r="O20" s="100"/>
      <c r="P20" s="113"/>
      <c r="Q20" s="1"/>
    </row>
    <row r="21" spans="1:17" ht="12.75">
      <c r="A21" s="1"/>
      <c r="B21" s="130" t="s">
        <v>209</v>
      </c>
      <c r="C21" s="119"/>
      <c r="D21" s="234">
        <f>Inputs!C21</f>
        <v>0.07</v>
      </c>
      <c r="E21" s="117"/>
      <c r="F21" s="117"/>
      <c r="G21" s="117"/>
      <c r="H21" s="117"/>
      <c r="I21" s="117"/>
      <c r="J21" s="117"/>
      <c r="K21" s="117"/>
      <c r="L21" s="117"/>
      <c r="M21" s="117"/>
      <c r="N21" s="117"/>
      <c r="O21" s="100"/>
      <c r="P21" s="113"/>
      <c r="Q21" s="1"/>
    </row>
    <row r="22" spans="1:17" ht="12.75">
      <c r="A22" s="1"/>
      <c r="B22" s="130" t="s">
        <v>210</v>
      </c>
      <c r="C22" s="119"/>
      <c r="D22" s="235">
        <f>Inputs!C24</f>
        <v>0.06</v>
      </c>
      <c r="E22" s="117"/>
      <c r="F22" s="117"/>
      <c r="G22" s="117"/>
      <c r="H22" s="117"/>
      <c r="I22" s="117"/>
      <c r="J22" s="117"/>
      <c r="K22" s="117"/>
      <c r="L22" s="117"/>
      <c r="M22" s="117"/>
      <c r="N22" s="117"/>
      <c r="O22" s="100"/>
      <c r="P22" s="113"/>
      <c r="Q22" s="1"/>
    </row>
    <row r="23" spans="1:17" ht="12.75">
      <c r="A23" s="1"/>
      <c r="B23" s="147" t="s">
        <v>211</v>
      </c>
      <c r="C23" s="139"/>
      <c r="D23" s="236">
        <f>Inputs!C25</f>
        <v>0.04</v>
      </c>
      <c r="E23" s="117"/>
      <c r="F23" s="117"/>
      <c r="G23" s="117"/>
      <c r="H23" s="117"/>
      <c r="I23" s="117"/>
      <c r="J23" s="117"/>
      <c r="K23" s="117"/>
      <c r="L23" s="117"/>
      <c r="M23" s="117"/>
      <c r="N23" s="117"/>
      <c r="O23" s="100"/>
      <c r="P23" s="113"/>
      <c r="Q23" s="1"/>
    </row>
    <row r="24" spans="1:17" ht="12.75">
      <c r="A24" s="1"/>
      <c r="B24" s="131"/>
      <c r="C24" s="117"/>
      <c r="D24" s="117"/>
      <c r="E24" s="117"/>
      <c r="F24" s="117"/>
      <c r="G24" s="117"/>
      <c r="H24" s="117"/>
      <c r="I24" s="117"/>
      <c r="J24" s="117"/>
      <c r="K24" s="117"/>
      <c r="L24" s="117"/>
      <c r="M24" s="117"/>
      <c r="N24" s="117"/>
      <c r="O24" s="100"/>
      <c r="P24" s="113"/>
      <c r="Q24" s="1"/>
    </row>
    <row r="25" spans="1:17" ht="12.75">
      <c r="A25" s="1"/>
      <c r="B25" s="149" t="s">
        <v>212</v>
      </c>
      <c r="C25" s="140"/>
      <c r="D25" s="138"/>
      <c r="E25" s="117"/>
      <c r="F25" s="117"/>
      <c r="G25" s="117"/>
      <c r="H25" s="117"/>
      <c r="I25" s="117"/>
      <c r="J25" s="117"/>
      <c r="K25" s="117"/>
      <c r="L25" s="117"/>
      <c r="M25" s="117"/>
      <c r="N25" s="117"/>
      <c r="O25" s="100"/>
      <c r="P25" s="113"/>
      <c r="Q25" s="1"/>
    </row>
    <row r="26" spans="1:17" ht="12.75">
      <c r="A26" s="1"/>
      <c r="B26" s="131" t="s">
        <v>213</v>
      </c>
      <c r="C26" s="120"/>
      <c r="D26" s="237">
        <f>D27*12</f>
        <v>151.69632563831186</v>
      </c>
      <c r="E26" s="117"/>
      <c r="F26" s="117"/>
      <c r="G26" s="117"/>
      <c r="H26" s="117"/>
      <c r="I26" s="117"/>
      <c r="J26" s="117"/>
      <c r="K26" s="117"/>
      <c r="L26" s="117"/>
      <c r="M26" s="117"/>
      <c r="N26" s="117"/>
      <c r="O26" s="100"/>
      <c r="P26" s="113"/>
      <c r="Q26" s="1"/>
    </row>
    <row r="27" spans="1:17" ht="12.75">
      <c r="A27" s="1"/>
      <c r="B27" s="150" t="s">
        <v>214</v>
      </c>
      <c r="C27" s="141"/>
      <c r="D27" s="238">
        <f>-PMT(D30/12,D33*12,D32)</f>
        <v>12.641360469859322</v>
      </c>
      <c r="E27" s="117"/>
      <c r="F27" s="120"/>
      <c r="G27" s="117"/>
      <c r="H27" s="117"/>
      <c r="I27" s="117"/>
      <c r="J27" s="117"/>
      <c r="K27" s="117"/>
      <c r="L27" s="117"/>
      <c r="M27" s="117"/>
      <c r="N27" s="117"/>
      <c r="O27" s="100"/>
      <c r="P27" s="113"/>
      <c r="Q27" s="1"/>
    </row>
    <row r="28" spans="1:17" ht="12.75">
      <c r="A28" s="1"/>
      <c r="B28" s="131"/>
      <c r="C28" s="120"/>
      <c r="D28" s="117"/>
      <c r="E28" s="117"/>
      <c r="F28" s="117"/>
      <c r="G28" s="117"/>
      <c r="H28" s="117"/>
      <c r="I28" s="117"/>
      <c r="J28" s="117"/>
      <c r="K28" s="117"/>
      <c r="L28" s="117"/>
      <c r="M28" s="117"/>
      <c r="N28" s="117"/>
      <c r="O28" s="100"/>
      <c r="P28" s="113"/>
      <c r="Q28" s="1"/>
    </row>
    <row r="29" spans="1:17" ht="12.75">
      <c r="A29" s="1"/>
      <c r="B29" s="149" t="s">
        <v>206</v>
      </c>
      <c r="C29" s="140"/>
      <c r="D29" s="138"/>
      <c r="E29" s="117"/>
      <c r="F29" s="117"/>
      <c r="G29" s="117"/>
      <c r="H29" s="117"/>
      <c r="I29" s="117"/>
      <c r="J29" s="117"/>
      <c r="K29" s="117"/>
      <c r="L29" s="117"/>
      <c r="M29" s="117"/>
      <c r="N29" s="117"/>
      <c r="O29" s="100"/>
      <c r="P29" s="113"/>
      <c r="Q29" s="1"/>
    </row>
    <row r="30" spans="1:17" ht="12.75">
      <c r="A30" s="1"/>
      <c r="B30" s="131" t="s">
        <v>215</v>
      </c>
      <c r="C30" s="117"/>
      <c r="D30" s="239">
        <f>Inputs!C17</f>
        <v>0.065</v>
      </c>
      <c r="E30" s="117"/>
      <c r="F30" s="117"/>
      <c r="G30" s="117"/>
      <c r="H30" s="117"/>
      <c r="I30" s="117"/>
      <c r="J30" s="117"/>
      <c r="K30" s="117"/>
      <c r="L30" s="117"/>
      <c r="M30" s="117"/>
      <c r="N30" s="117"/>
      <c r="O30" s="100"/>
      <c r="P30" s="113"/>
      <c r="Q30" s="1"/>
    </row>
    <row r="31" spans="1:17" ht="12.75">
      <c r="A31" s="1"/>
      <c r="B31" s="131" t="s">
        <v>216</v>
      </c>
      <c r="C31" s="117"/>
      <c r="D31" s="237">
        <f>Inputs!C18</f>
        <v>0</v>
      </c>
      <c r="E31" s="117"/>
      <c r="F31" s="117"/>
      <c r="G31" s="117"/>
      <c r="H31" s="117"/>
      <c r="I31" s="117"/>
      <c r="J31" s="117"/>
      <c r="K31" s="117"/>
      <c r="L31" s="117"/>
      <c r="M31" s="117"/>
      <c r="N31" s="117"/>
      <c r="O31" s="100"/>
      <c r="P31" s="113"/>
      <c r="Q31" s="1"/>
    </row>
    <row r="32" spans="1:17" ht="12.75">
      <c r="A32" s="1"/>
      <c r="B32" s="131" t="s">
        <v>217</v>
      </c>
      <c r="C32" s="117"/>
      <c r="D32" s="237">
        <f>Inputs!C14</f>
        <v>2000</v>
      </c>
      <c r="E32" s="117"/>
      <c r="F32" s="117"/>
      <c r="G32" s="117"/>
      <c r="H32" s="117"/>
      <c r="I32" s="117"/>
      <c r="J32" s="117"/>
      <c r="K32" s="117"/>
      <c r="L32" s="117"/>
      <c r="M32" s="117"/>
      <c r="N32" s="117"/>
      <c r="O32" s="100"/>
      <c r="P32" s="113"/>
      <c r="Q32" s="1"/>
    </row>
    <row r="33" spans="1:17" ht="12.75">
      <c r="A33" s="1"/>
      <c r="B33" s="150" t="s">
        <v>218</v>
      </c>
      <c r="C33" s="134"/>
      <c r="D33" s="240">
        <f>Inputs!C19</f>
        <v>30</v>
      </c>
      <c r="E33" s="117"/>
      <c r="F33" s="117"/>
      <c r="G33" s="117"/>
      <c r="H33" s="117"/>
      <c r="I33" s="117"/>
      <c r="J33" s="117"/>
      <c r="K33" s="117"/>
      <c r="L33" s="117"/>
      <c r="M33" s="117"/>
      <c r="N33" s="117"/>
      <c r="O33" s="100"/>
      <c r="P33" s="113"/>
      <c r="Q33" s="1"/>
    </row>
    <row r="34" spans="1:17" ht="12.75">
      <c r="A34" s="1"/>
      <c r="B34" s="131"/>
      <c r="C34" s="117"/>
      <c r="D34" s="117"/>
      <c r="E34" s="117"/>
      <c r="F34" s="117"/>
      <c r="G34" s="117"/>
      <c r="H34" s="117"/>
      <c r="I34" s="117"/>
      <c r="J34" s="117"/>
      <c r="K34" s="117"/>
      <c r="L34" s="117"/>
      <c r="M34" s="117"/>
      <c r="N34" s="117"/>
      <c r="O34" s="100"/>
      <c r="P34" s="113"/>
      <c r="Q34" s="1"/>
    </row>
    <row r="35" spans="1:17" ht="12.75">
      <c r="A35" s="1"/>
      <c r="B35" s="285" t="s">
        <v>219</v>
      </c>
      <c r="C35" s="286"/>
      <c r="D35" s="287"/>
      <c r="E35" s="145"/>
      <c r="F35" s="145"/>
      <c r="G35" s="145"/>
      <c r="H35" s="142" t="s">
        <v>191</v>
      </c>
      <c r="I35" s="145"/>
      <c r="J35" s="145"/>
      <c r="K35" s="145"/>
      <c r="L35" s="145"/>
      <c r="M35" s="145"/>
      <c r="N35" s="142" t="s">
        <v>192</v>
      </c>
      <c r="O35" s="142" t="s">
        <v>193</v>
      </c>
      <c r="P35" s="113"/>
      <c r="Q35" s="1"/>
    </row>
    <row r="36" spans="1:17" ht="12.75">
      <c r="A36" s="1"/>
      <c r="B36" s="152"/>
      <c r="C36" s="146" t="s">
        <v>194</v>
      </c>
      <c r="D36" s="118" t="s">
        <v>195</v>
      </c>
      <c r="E36" s="136" t="s">
        <v>196</v>
      </c>
      <c r="F36" s="136" t="s">
        <v>197</v>
      </c>
      <c r="G36" s="136" t="s">
        <v>198</v>
      </c>
      <c r="H36" s="136" t="s">
        <v>101</v>
      </c>
      <c r="I36" s="136" t="s">
        <v>199</v>
      </c>
      <c r="J36" s="136" t="s">
        <v>200</v>
      </c>
      <c r="K36" s="136" t="s">
        <v>201</v>
      </c>
      <c r="L36" s="136" t="s">
        <v>202</v>
      </c>
      <c r="M36" s="136" t="s">
        <v>203</v>
      </c>
      <c r="N36" s="136" t="s">
        <v>101</v>
      </c>
      <c r="O36" s="136" t="s">
        <v>101</v>
      </c>
      <c r="P36" s="114"/>
      <c r="Q36" s="1"/>
    </row>
    <row r="37" spans="1:17" ht="12.75">
      <c r="A37" s="1"/>
      <c r="B37" s="224" t="s">
        <v>220</v>
      </c>
      <c r="C37" s="230">
        <f aca="true" t="shared" si="1" ref="C37:O37">C16</f>
        <v>278.3106200000001</v>
      </c>
      <c r="D37" s="230">
        <f t="shared" si="1"/>
        <v>293.12176320000003</v>
      </c>
      <c r="E37" s="230">
        <f t="shared" si="1"/>
        <v>308.74607523200007</v>
      </c>
      <c r="F37" s="230">
        <f t="shared" si="1"/>
        <v>325.2293262355201</v>
      </c>
      <c r="G37" s="230">
        <f t="shared" si="1"/>
        <v>342.6199117588353</v>
      </c>
      <c r="H37" s="230">
        <f t="shared" si="1"/>
        <v>1548.0276964263555</v>
      </c>
      <c r="I37" s="230">
        <f t="shared" si="1"/>
        <v>360.9690054515168</v>
      </c>
      <c r="J37" s="230">
        <f t="shared" si="1"/>
        <v>380.3307207252452</v>
      </c>
      <c r="K37" s="230">
        <f t="shared" si="1"/>
        <v>400.7622819132629</v>
      </c>
      <c r="L37" s="230">
        <f t="shared" si="1"/>
        <v>422.3242054903417</v>
      </c>
      <c r="M37" s="230">
        <f t="shared" si="1"/>
        <v>445.0804919485365</v>
      </c>
      <c r="N37" s="230">
        <f t="shared" si="1"/>
        <v>3557.4944019552586</v>
      </c>
      <c r="O37" s="230">
        <f t="shared" si="1"/>
        <v>19834.6393897679</v>
      </c>
      <c r="P37" s="114"/>
      <c r="Q37" s="1"/>
    </row>
    <row r="38" spans="1:17" ht="12.75">
      <c r="A38" s="1"/>
      <c r="B38" s="223" t="s">
        <v>221</v>
      </c>
      <c r="C38" s="231">
        <f>$D$26</f>
        <v>151.69632563831186</v>
      </c>
      <c r="D38" s="231">
        <f>$D$26</f>
        <v>151.69632563831186</v>
      </c>
      <c r="E38" s="231">
        <f>$D$26</f>
        <v>151.69632563831186</v>
      </c>
      <c r="F38" s="231">
        <f>$D$26</f>
        <v>151.69632563831186</v>
      </c>
      <c r="G38" s="231">
        <f>$D$26</f>
        <v>151.69632563831186</v>
      </c>
      <c r="H38" s="231">
        <f>$D$26*5</f>
        <v>758.4816281915594</v>
      </c>
      <c r="I38" s="231">
        <f>$D$26</f>
        <v>151.69632563831186</v>
      </c>
      <c r="J38" s="231">
        <f>$D$26</f>
        <v>151.69632563831186</v>
      </c>
      <c r="K38" s="231">
        <f>$D$26</f>
        <v>151.69632563831186</v>
      </c>
      <c r="L38" s="231">
        <f>$D$26</f>
        <v>151.69632563831186</v>
      </c>
      <c r="M38" s="231">
        <f>$D$26</f>
        <v>151.69632563831186</v>
      </c>
      <c r="N38" s="231">
        <f>$D$26*10</f>
        <v>1516.9632563831187</v>
      </c>
      <c r="O38" s="231">
        <f>$D$26*D33</f>
        <v>4550.889769149356</v>
      </c>
      <c r="P38" s="114"/>
      <c r="Q38" s="1"/>
    </row>
    <row r="39" spans="1:17" ht="13.5" thickBot="1">
      <c r="A39" s="1"/>
      <c r="B39" s="151" t="s">
        <v>101</v>
      </c>
      <c r="C39" s="241">
        <f>C37-C38</f>
        <v>126.61429436168822</v>
      </c>
      <c r="D39" s="241">
        <f aca="true" t="shared" si="2" ref="D39:O39">D37-D38</f>
        <v>141.42543756168817</v>
      </c>
      <c r="E39" s="241">
        <f t="shared" si="2"/>
        <v>157.0497495936882</v>
      </c>
      <c r="F39" s="241">
        <f t="shared" si="2"/>
        <v>173.53300059720823</v>
      </c>
      <c r="G39" s="241">
        <f t="shared" si="2"/>
        <v>190.92358612052345</v>
      </c>
      <c r="H39" s="241">
        <f t="shared" si="2"/>
        <v>789.5460682347962</v>
      </c>
      <c r="I39" s="241">
        <f t="shared" si="2"/>
        <v>209.27267981320495</v>
      </c>
      <c r="J39" s="241">
        <f t="shared" si="2"/>
        <v>228.63439508693335</v>
      </c>
      <c r="K39" s="241">
        <f t="shared" si="2"/>
        <v>249.06595627495102</v>
      </c>
      <c r="L39" s="241">
        <f t="shared" si="2"/>
        <v>270.6278798520298</v>
      </c>
      <c r="M39" s="241">
        <f t="shared" si="2"/>
        <v>293.38416631022466</v>
      </c>
      <c r="N39" s="241">
        <f t="shared" si="2"/>
        <v>2040.5311455721398</v>
      </c>
      <c r="O39" s="241">
        <f t="shared" si="2"/>
        <v>15283.749620618546</v>
      </c>
      <c r="P39" s="132"/>
      <c r="Q39" s="1"/>
    </row>
    <row r="40" spans="1:17" ht="12.75">
      <c r="A40" s="1"/>
      <c r="B40" s="115"/>
      <c r="C40" s="115"/>
      <c r="D40" s="115"/>
      <c r="E40" s="115"/>
      <c r="F40" s="115"/>
      <c r="G40" s="115"/>
      <c r="H40" s="115"/>
      <c r="I40" s="115"/>
      <c r="J40" s="115"/>
      <c r="K40" s="115"/>
      <c r="L40" s="115"/>
      <c r="M40" s="115"/>
      <c r="N40" s="115"/>
      <c r="O40" s="115"/>
      <c r="P40" s="115"/>
      <c r="Q40" s="1"/>
    </row>
    <row r="41" spans="1:17" ht="12.75">
      <c r="A41" s="1"/>
      <c r="B41" s="105"/>
      <c r="C41" s="105"/>
      <c r="D41" s="105"/>
      <c r="E41" s="105"/>
      <c r="F41" s="105"/>
      <c r="G41" s="105"/>
      <c r="H41" s="105"/>
      <c r="I41" s="105"/>
      <c r="J41" s="105"/>
      <c r="K41" s="105"/>
      <c r="L41" s="105"/>
      <c r="M41" s="105"/>
      <c r="N41" s="105"/>
      <c r="O41" s="105"/>
      <c r="P41" s="105"/>
      <c r="Q41" s="1"/>
    </row>
    <row r="42" spans="1:17" ht="12.75">
      <c r="A42" s="1"/>
      <c r="B42" s="105"/>
      <c r="C42" s="105"/>
      <c r="D42" s="108"/>
      <c r="E42" s="105"/>
      <c r="F42" s="105"/>
      <c r="G42" s="105"/>
      <c r="H42" s="105"/>
      <c r="I42" s="105"/>
      <c r="J42" s="105"/>
      <c r="K42" s="105"/>
      <c r="L42" s="105"/>
      <c r="M42" s="105"/>
      <c r="N42" s="105"/>
      <c r="O42" s="105"/>
      <c r="P42" s="105"/>
      <c r="Q42" s="1"/>
    </row>
    <row r="43" spans="1:17" ht="12.75">
      <c r="A43" s="1"/>
      <c r="B43" s="124"/>
      <c r="C43" s="124"/>
      <c r="D43" s="124"/>
      <c r="E43" s="124"/>
      <c r="F43" s="124"/>
      <c r="G43" s="124"/>
      <c r="H43" s="124"/>
      <c r="I43" s="124"/>
      <c r="J43" s="124"/>
      <c r="K43" s="124"/>
      <c r="L43" s="124"/>
      <c r="M43" s="124"/>
      <c r="N43" s="124"/>
      <c r="O43" s="124"/>
      <c r="P43" s="124"/>
      <c r="Q43" s="1"/>
    </row>
    <row r="44" spans="1:17" ht="12.75">
      <c r="A44" s="1"/>
      <c r="B44" s="1"/>
      <c r="C44" s="1"/>
      <c r="D44" s="1"/>
      <c r="E44" s="1"/>
      <c r="F44" s="1"/>
      <c r="G44" s="1"/>
      <c r="H44" s="1"/>
      <c r="I44" s="1"/>
      <c r="J44" s="1"/>
      <c r="K44" s="1"/>
      <c r="L44" s="1"/>
      <c r="M44" s="1"/>
      <c r="N44" s="1"/>
      <c r="O44" s="1"/>
      <c r="P44" s="1"/>
      <c r="Q44" s="1"/>
    </row>
  </sheetData>
  <sheetProtection/>
  <mergeCells count="7">
    <mergeCell ref="B12:D12"/>
    <mergeCell ref="B35:D35"/>
    <mergeCell ref="B8:D8"/>
    <mergeCell ref="B2:P2"/>
    <mergeCell ref="B3:P3"/>
    <mergeCell ref="B4:P4"/>
    <mergeCell ref="B5:P5"/>
  </mergeCells>
  <printOptions/>
  <pageMargins left="0.75" right="0.75" top="1" bottom="1" header="0.5" footer="0.5"/>
  <pageSetup horizontalDpi="600" verticalDpi="600" orientation="landscape" scale="68" r:id="rId1"/>
</worksheet>
</file>

<file path=xl/worksheets/sheet5.xml><?xml version="1.0" encoding="utf-8"?>
<worksheet xmlns="http://schemas.openxmlformats.org/spreadsheetml/2006/main" xmlns:r="http://schemas.openxmlformats.org/officeDocument/2006/relationships">
  <sheetPr codeName="Sheet2"/>
  <dimension ref="A1:U40"/>
  <sheetViews>
    <sheetView workbookViewId="0" topLeftCell="A1">
      <selection activeCell="O23" sqref="O23"/>
    </sheetView>
  </sheetViews>
  <sheetFormatPr defaultColWidth="9.140625" defaultRowHeight="12.75"/>
  <cols>
    <col min="1" max="1" width="20.140625" style="0" customWidth="1"/>
    <col min="2" max="2" width="8.8515625" style="0" customWidth="1"/>
    <col min="3" max="3" width="10.140625" style="3" customWidth="1"/>
    <col min="4" max="4" width="10.8515625" style="3" customWidth="1"/>
    <col min="5" max="5" width="10.00390625" style="3" customWidth="1"/>
    <col min="6" max="7" width="9.140625" style="3" customWidth="1"/>
    <col min="8" max="8" width="14.7109375" style="3" customWidth="1"/>
    <col min="9" max="9" width="10.140625" style="3" customWidth="1"/>
    <col min="10" max="10" width="11.8515625" style="3" customWidth="1"/>
    <col min="11" max="15" width="9.140625" style="3" customWidth="1"/>
    <col min="16" max="16" width="11.421875" style="3" customWidth="1"/>
    <col min="17" max="21" width="9.140625" style="3" customWidth="1"/>
    <col min="22" max="16384" width="8.8515625" style="0" customWidth="1"/>
  </cols>
  <sheetData>
    <row r="1" spans="1:17" ht="42" customHeight="1" thickBot="1">
      <c r="A1" s="302" t="s">
        <v>34</v>
      </c>
      <c r="B1" s="303"/>
      <c r="C1" s="303"/>
      <c r="D1" s="303"/>
      <c r="E1" s="303"/>
      <c r="F1" s="303"/>
      <c r="G1" s="303"/>
      <c r="H1" s="303"/>
      <c r="I1" s="303"/>
      <c r="J1" s="303"/>
      <c r="K1" s="303"/>
      <c r="L1" s="303"/>
      <c r="M1" s="303"/>
      <c r="N1" s="303"/>
      <c r="O1" s="303"/>
      <c r="P1" s="304"/>
      <c r="Q1" s="4"/>
    </row>
    <row r="2" spans="1:17" ht="12.75">
      <c r="A2" s="22"/>
      <c r="B2" s="23"/>
      <c r="C2" s="24"/>
      <c r="D2" s="24"/>
      <c r="E2" s="24"/>
      <c r="F2" s="24"/>
      <c r="G2" s="24"/>
      <c r="H2" s="24"/>
      <c r="I2" s="24"/>
      <c r="J2" s="24"/>
      <c r="K2" s="24"/>
      <c r="L2" s="24"/>
      <c r="M2" s="24"/>
      <c r="N2" s="24"/>
      <c r="O2" s="24"/>
      <c r="P2" s="24"/>
      <c r="Q2" s="7"/>
    </row>
    <row r="3" spans="1:17" ht="12.75">
      <c r="A3" s="22" t="s">
        <v>35</v>
      </c>
      <c r="B3" s="23"/>
      <c r="C3" s="25"/>
      <c r="D3" s="25"/>
      <c r="E3" s="25"/>
      <c r="F3" s="25"/>
      <c r="G3" s="25"/>
      <c r="H3" s="25"/>
      <c r="I3" s="24"/>
      <c r="J3" s="24"/>
      <c r="K3" s="24"/>
      <c r="L3" s="24"/>
      <c r="M3" s="24"/>
      <c r="N3" s="24"/>
      <c r="O3" s="24"/>
      <c r="P3" s="24"/>
      <c r="Q3" s="7"/>
    </row>
    <row r="4" spans="1:17" ht="12.75">
      <c r="A4" s="22"/>
      <c r="B4" s="23"/>
      <c r="C4" s="24"/>
      <c r="D4" s="24"/>
      <c r="E4" s="24"/>
      <c r="F4" s="24"/>
      <c r="G4" s="24"/>
      <c r="H4" s="24"/>
      <c r="I4" s="24"/>
      <c r="J4" s="24"/>
      <c r="K4" s="24"/>
      <c r="L4" s="24"/>
      <c r="M4" s="24"/>
      <c r="N4" s="24"/>
      <c r="O4" s="24"/>
      <c r="P4" s="24"/>
      <c r="Q4" s="7"/>
    </row>
    <row r="5" spans="1:17" ht="12.75">
      <c r="A5" s="22"/>
      <c r="B5" s="23"/>
      <c r="C5" s="24"/>
      <c r="D5" s="24"/>
      <c r="E5" s="24"/>
      <c r="F5" s="24"/>
      <c r="G5" s="24"/>
      <c r="H5" s="24"/>
      <c r="I5" s="24"/>
      <c r="J5" s="24"/>
      <c r="K5" s="24"/>
      <c r="L5" s="24"/>
      <c r="M5" s="24"/>
      <c r="N5" s="24"/>
      <c r="O5" s="24"/>
      <c r="P5" s="24"/>
      <c r="Q5" s="7"/>
    </row>
    <row r="6" spans="1:17" ht="13.5" thickBot="1">
      <c r="A6" s="22" t="s">
        <v>36</v>
      </c>
      <c r="B6" s="23"/>
      <c r="C6" s="25"/>
      <c r="D6" s="25"/>
      <c r="E6" s="24"/>
      <c r="F6" s="24"/>
      <c r="G6" s="24"/>
      <c r="H6" s="24"/>
      <c r="I6" s="24"/>
      <c r="J6" s="24"/>
      <c r="K6" s="24"/>
      <c r="L6" s="24"/>
      <c r="M6" s="24"/>
      <c r="N6" s="24"/>
      <c r="O6" s="24"/>
      <c r="P6" s="24"/>
      <c r="Q6" s="8"/>
    </row>
    <row r="7" spans="1:17" ht="12.75">
      <c r="A7" s="22" t="s">
        <v>37</v>
      </c>
      <c r="B7" s="23"/>
      <c r="C7" s="24"/>
      <c r="D7" s="24"/>
      <c r="E7" s="24"/>
      <c r="F7" s="24"/>
      <c r="G7" s="24"/>
      <c r="H7" s="24"/>
      <c r="I7" s="24"/>
      <c r="J7" s="24"/>
      <c r="K7" s="24"/>
      <c r="L7" s="24"/>
      <c r="M7" s="24"/>
      <c r="N7" s="24"/>
      <c r="O7" s="24"/>
      <c r="P7" s="24"/>
      <c r="Q7" s="7"/>
    </row>
    <row r="8" spans="1:17" ht="12.75">
      <c r="A8" s="22" t="s">
        <v>38</v>
      </c>
      <c r="B8" s="23"/>
      <c r="C8" s="24"/>
      <c r="D8" s="25" t="s">
        <v>39</v>
      </c>
      <c r="E8" s="25"/>
      <c r="F8" s="25"/>
      <c r="G8" s="25"/>
      <c r="H8" s="25"/>
      <c r="I8" s="24"/>
      <c r="J8" s="24"/>
      <c r="K8" s="24"/>
      <c r="L8" s="24"/>
      <c r="M8" s="24"/>
      <c r="N8" s="24"/>
      <c r="O8" s="24"/>
      <c r="P8" s="24"/>
      <c r="Q8" s="7"/>
    </row>
    <row r="9" spans="1:17" ht="12.75">
      <c r="A9" s="22" t="s">
        <v>40</v>
      </c>
      <c r="B9" s="23"/>
      <c r="C9" s="24"/>
      <c r="D9" s="25" t="s">
        <v>39</v>
      </c>
      <c r="E9" s="25"/>
      <c r="F9" s="25"/>
      <c r="G9" s="25"/>
      <c r="H9" s="25"/>
      <c r="I9" s="24"/>
      <c r="J9" s="24"/>
      <c r="K9" s="24"/>
      <c r="L9" s="24"/>
      <c r="M9" s="24"/>
      <c r="N9" s="24"/>
      <c r="O9" s="24"/>
      <c r="P9" s="24"/>
      <c r="Q9" s="7"/>
    </row>
    <row r="10" spans="1:17" ht="12.75">
      <c r="A10" s="22"/>
      <c r="B10" s="23"/>
      <c r="C10" s="24"/>
      <c r="D10" s="24"/>
      <c r="E10" s="24"/>
      <c r="F10" s="24"/>
      <c r="G10" s="24"/>
      <c r="H10" s="24"/>
      <c r="I10" s="24"/>
      <c r="J10" s="24"/>
      <c r="K10" s="24"/>
      <c r="L10" s="24"/>
      <c r="M10" s="24"/>
      <c r="N10" s="24"/>
      <c r="O10" s="24"/>
      <c r="P10" s="24"/>
      <c r="Q10" s="7"/>
    </row>
    <row r="11" spans="1:17" ht="12.75">
      <c r="A11" s="22" t="s">
        <v>41</v>
      </c>
      <c r="B11" s="23"/>
      <c r="C11" s="25"/>
      <c r="D11" s="25"/>
      <c r="E11" s="25"/>
      <c r="F11" s="25"/>
      <c r="G11" s="25"/>
      <c r="H11" s="24"/>
      <c r="I11" s="24"/>
      <c r="J11" s="24"/>
      <c r="K11" s="24"/>
      <c r="L11" s="24"/>
      <c r="M11" s="24"/>
      <c r="N11" s="24"/>
      <c r="O11" s="24"/>
      <c r="P11" s="24"/>
      <c r="Q11" s="7"/>
    </row>
    <row r="12" spans="1:17" ht="12.75">
      <c r="A12" s="22"/>
      <c r="B12" s="23"/>
      <c r="C12" s="24"/>
      <c r="D12" s="24"/>
      <c r="E12" s="24"/>
      <c r="F12" s="24"/>
      <c r="G12" s="24"/>
      <c r="H12" s="24"/>
      <c r="I12" s="24"/>
      <c r="J12" s="24"/>
      <c r="K12" s="24"/>
      <c r="L12" s="24"/>
      <c r="M12" s="24"/>
      <c r="N12" s="24"/>
      <c r="O12" s="24"/>
      <c r="P12" s="24"/>
      <c r="Q12" s="7"/>
    </row>
    <row r="13" spans="1:17" ht="12.75">
      <c r="A13" s="22" t="s">
        <v>42</v>
      </c>
      <c r="B13" s="23"/>
      <c r="C13" s="25"/>
      <c r="D13" s="25"/>
      <c r="E13" s="25"/>
      <c r="F13" s="25"/>
      <c r="G13" s="25"/>
      <c r="H13" s="25"/>
      <c r="I13" s="25"/>
      <c r="J13" s="25"/>
      <c r="K13" s="25"/>
      <c r="L13" s="24"/>
      <c r="M13" s="24"/>
      <c r="N13" s="24"/>
      <c r="O13" s="24"/>
      <c r="P13" s="24"/>
      <c r="Q13" s="7"/>
    </row>
    <row r="14" spans="1:17" ht="13.5" thickBot="1">
      <c r="A14" s="22"/>
      <c r="B14" s="23"/>
      <c r="C14" s="24"/>
      <c r="D14" s="24"/>
      <c r="E14" s="24"/>
      <c r="F14" s="24"/>
      <c r="G14" s="24"/>
      <c r="H14" s="24"/>
      <c r="I14" s="24"/>
      <c r="J14" s="24"/>
      <c r="K14" s="24"/>
      <c r="L14" s="24"/>
      <c r="M14" s="24"/>
      <c r="N14" s="24"/>
      <c r="O14" s="24"/>
      <c r="P14" s="24"/>
      <c r="Q14" s="7"/>
    </row>
    <row r="15" spans="1:17" ht="39" thickBot="1">
      <c r="A15" s="19" t="s">
        <v>43</v>
      </c>
      <c r="B15" s="20"/>
      <c r="C15" s="21" t="s">
        <v>44</v>
      </c>
      <c r="D15" s="21" t="s">
        <v>45</v>
      </c>
      <c r="E15" s="21" t="s">
        <v>46</v>
      </c>
      <c r="F15" s="21" t="s">
        <v>47</v>
      </c>
      <c r="G15" s="21" t="s">
        <v>48</v>
      </c>
      <c r="H15" s="21" t="s">
        <v>49</v>
      </c>
      <c r="I15" s="21" t="s">
        <v>50</v>
      </c>
      <c r="J15" s="21" t="s">
        <v>51</v>
      </c>
      <c r="K15" s="21" t="s">
        <v>52</v>
      </c>
      <c r="L15" s="21" t="s">
        <v>53</v>
      </c>
      <c r="M15" s="21" t="s">
        <v>54</v>
      </c>
      <c r="N15" s="21" t="s">
        <v>55</v>
      </c>
      <c r="O15" s="21" t="s">
        <v>56</v>
      </c>
      <c r="P15" s="21" t="s">
        <v>57</v>
      </c>
      <c r="Q15" s="7"/>
    </row>
    <row r="16" spans="1:17" ht="12.75">
      <c r="A16" s="26"/>
      <c r="B16" s="27" t="s">
        <v>6</v>
      </c>
      <c r="C16" s="28">
        <v>25</v>
      </c>
      <c r="D16" s="28">
        <v>21</v>
      </c>
      <c r="E16" s="28">
        <v>38</v>
      </c>
      <c r="F16" s="28">
        <v>0.4</v>
      </c>
      <c r="G16" s="28" t="s">
        <v>58</v>
      </c>
      <c r="H16" s="28" t="s">
        <v>59</v>
      </c>
      <c r="I16" s="28" t="s">
        <v>60</v>
      </c>
      <c r="J16" s="28" t="s">
        <v>32</v>
      </c>
      <c r="K16" s="29">
        <v>0.8</v>
      </c>
      <c r="L16" s="28">
        <v>7.7</v>
      </c>
      <c r="M16" s="28">
        <v>13</v>
      </c>
      <c r="N16" s="28" t="s">
        <v>61</v>
      </c>
      <c r="O16" s="28">
        <v>0</v>
      </c>
      <c r="P16" s="28">
        <v>0.55</v>
      </c>
      <c r="Q16" s="7"/>
    </row>
    <row r="17" spans="1:17" ht="12.75">
      <c r="A17" s="26"/>
      <c r="B17" s="27" t="s">
        <v>62</v>
      </c>
      <c r="C17" s="28">
        <v>25</v>
      </c>
      <c r="D17" s="28">
        <v>21</v>
      </c>
      <c r="E17" s="28">
        <v>38</v>
      </c>
      <c r="F17" s="28">
        <v>0.4</v>
      </c>
      <c r="G17" s="28" t="s">
        <v>58</v>
      </c>
      <c r="H17" s="28" t="s">
        <v>59</v>
      </c>
      <c r="I17" s="28" t="s">
        <v>60</v>
      </c>
      <c r="J17" s="28" t="s">
        <v>32</v>
      </c>
      <c r="K17" s="29">
        <v>0.8</v>
      </c>
      <c r="L17" s="28">
        <v>7.7</v>
      </c>
      <c r="M17" s="28">
        <v>13</v>
      </c>
      <c r="N17" s="28" t="s">
        <v>61</v>
      </c>
      <c r="O17" s="28">
        <v>0</v>
      </c>
      <c r="P17" s="28">
        <v>0.55</v>
      </c>
      <c r="Q17" s="7"/>
    </row>
    <row r="18" spans="1:17" ht="12.75">
      <c r="A18" s="26"/>
      <c r="B18" s="27" t="s">
        <v>63</v>
      </c>
      <c r="C18" s="28">
        <v>25</v>
      </c>
      <c r="D18" s="28">
        <v>21</v>
      </c>
      <c r="E18" s="28">
        <v>38</v>
      </c>
      <c r="F18" s="28">
        <v>0.4</v>
      </c>
      <c r="G18" s="28" t="s">
        <v>58</v>
      </c>
      <c r="H18" s="28" t="s">
        <v>59</v>
      </c>
      <c r="I18" s="28" t="s">
        <v>60</v>
      </c>
      <c r="J18" s="28" t="s">
        <v>32</v>
      </c>
      <c r="K18" s="29">
        <v>0.8</v>
      </c>
      <c r="L18" s="28">
        <v>7.7</v>
      </c>
      <c r="M18" s="28">
        <v>13</v>
      </c>
      <c r="N18" s="28" t="s">
        <v>61</v>
      </c>
      <c r="O18" s="28">
        <v>0</v>
      </c>
      <c r="P18" s="28">
        <v>0.55</v>
      </c>
      <c r="Q18" s="7"/>
    </row>
    <row r="19" spans="1:17" ht="12.75">
      <c r="A19" s="26"/>
      <c r="B19" s="27" t="s">
        <v>64</v>
      </c>
      <c r="C19" s="28">
        <v>25</v>
      </c>
      <c r="D19" s="28">
        <v>21</v>
      </c>
      <c r="E19" s="28">
        <v>38</v>
      </c>
      <c r="F19" s="28">
        <v>0.4</v>
      </c>
      <c r="G19" s="28" t="s">
        <v>58</v>
      </c>
      <c r="H19" s="28" t="s">
        <v>59</v>
      </c>
      <c r="I19" s="28" t="s">
        <v>60</v>
      </c>
      <c r="J19" s="28" t="s">
        <v>11</v>
      </c>
      <c r="K19" s="29">
        <v>0.8</v>
      </c>
      <c r="L19" s="28">
        <v>7.7</v>
      </c>
      <c r="M19" s="28">
        <v>13</v>
      </c>
      <c r="N19" s="28" t="s">
        <v>61</v>
      </c>
      <c r="O19" s="28">
        <v>0</v>
      </c>
      <c r="P19" s="28">
        <v>0.55</v>
      </c>
      <c r="Q19" s="7"/>
    </row>
    <row r="20" spans="1:17" ht="12.75">
      <c r="A20" s="26"/>
      <c r="B20" s="27" t="s">
        <v>65</v>
      </c>
      <c r="C20" s="28">
        <v>25</v>
      </c>
      <c r="D20" s="28">
        <v>21</v>
      </c>
      <c r="E20" s="28">
        <v>38</v>
      </c>
      <c r="F20" s="28">
        <v>0.35</v>
      </c>
      <c r="G20" s="28" t="s">
        <v>58</v>
      </c>
      <c r="H20" s="28" t="s">
        <v>59</v>
      </c>
      <c r="I20" s="28" t="s">
        <v>60</v>
      </c>
      <c r="J20" s="28" t="s">
        <v>11</v>
      </c>
      <c r="K20" s="29">
        <v>0.8</v>
      </c>
      <c r="L20" s="28">
        <v>7.7</v>
      </c>
      <c r="M20" s="28">
        <v>13</v>
      </c>
      <c r="N20" s="28" t="s">
        <v>61</v>
      </c>
      <c r="O20" s="28">
        <v>0</v>
      </c>
      <c r="P20" s="28">
        <v>0.55</v>
      </c>
      <c r="Q20" s="7"/>
    </row>
    <row r="21" spans="1:17" ht="12.75">
      <c r="A21" s="26"/>
      <c r="B21" s="27" t="s">
        <v>66</v>
      </c>
      <c r="C21" s="28">
        <v>25</v>
      </c>
      <c r="D21" s="28">
        <v>21</v>
      </c>
      <c r="E21" s="28">
        <v>38</v>
      </c>
      <c r="F21" s="28">
        <v>0.4</v>
      </c>
      <c r="G21" s="28" t="s">
        <v>58</v>
      </c>
      <c r="H21" s="28" t="s">
        <v>59</v>
      </c>
      <c r="I21" s="28" t="s">
        <v>60</v>
      </c>
      <c r="J21" s="28" t="s">
        <v>11</v>
      </c>
      <c r="K21" s="29">
        <v>0.8</v>
      </c>
      <c r="L21" s="28">
        <v>7.7</v>
      </c>
      <c r="M21" s="28">
        <v>13</v>
      </c>
      <c r="N21" s="28" t="s">
        <v>61</v>
      </c>
      <c r="O21" s="28">
        <v>0</v>
      </c>
      <c r="P21" s="28">
        <v>0.55</v>
      </c>
      <c r="Q21" s="7"/>
    </row>
    <row r="22" spans="1:17" ht="12.75">
      <c r="A22" s="26"/>
      <c r="B22" s="27" t="s">
        <v>67</v>
      </c>
      <c r="C22" s="28">
        <v>19</v>
      </c>
      <c r="D22" s="28">
        <v>18</v>
      </c>
      <c r="E22" s="28">
        <v>38</v>
      </c>
      <c r="F22" s="28">
        <v>0.4</v>
      </c>
      <c r="G22" s="28" t="s">
        <v>58</v>
      </c>
      <c r="H22" s="28" t="s">
        <v>59</v>
      </c>
      <c r="I22" s="28" t="s">
        <v>60</v>
      </c>
      <c r="J22" s="28" t="s">
        <v>32</v>
      </c>
      <c r="K22" s="29">
        <v>0.8</v>
      </c>
      <c r="L22" s="28">
        <v>7.7</v>
      </c>
      <c r="M22" s="28">
        <v>13</v>
      </c>
      <c r="N22" s="28" t="s">
        <v>61</v>
      </c>
      <c r="O22" s="28">
        <v>0</v>
      </c>
      <c r="P22" s="28">
        <v>0.55</v>
      </c>
      <c r="Q22" s="7"/>
    </row>
    <row r="23" spans="1:17" ht="12.75">
      <c r="A23" s="26"/>
      <c r="B23" s="27" t="s">
        <v>68</v>
      </c>
      <c r="C23" s="28">
        <v>20</v>
      </c>
      <c r="D23" s="28">
        <v>21</v>
      </c>
      <c r="E23" s="28">
        <v>49</v>
      </c>
      <c r="F23" s="28">
        <v>0.35</v>
      </c>
      <c r="G23" s="28" t="s">
        <v>58</v>
      </c>
      <c r="H23" s="28" t="s">
        <v>59</v>
      </c>
      <c r="I23" s="28" t="s">
        <v>60</v>
      </c>
      <c r="J23" s="28" t="s">
        <v>32</v>
      </c>
      <c r="K23" s="29">
        <v>0.8</v>
      </c>
      <c r="L23" s="28">
        <v>7.7</v>
      </c>
      <c r="M23" s="28">
        <v>13</v>
      </c>
      <c r="N23" s="28" t="s">
        <v>61</v>
      </c>
      <c r="O23" s="28">
        <v>0</v>
      </c>
      <c r="P23" s="28">
        <v>0.55</v>
      </c>
      <c r="Q23" s="7"/>
    </row>
    <row r="24" spans="1:17" ht="12.75">
      <c r="A24" s="26"/>
      <c r="B24" s="27" t="s">
        <v>69</v>
      </c>
      <c r="C24" s="28">
        <v>20</v>
      </c>
      <c r="D24" s="28">
        <v>21</v>
      </c>
      <c r="E24" s="28">
        <v>49</v>
      </c>
      <c r="F24" s="28">
        <v>0.35</v>
      </c>
      <c r="G24" s="28" t="s">
        <v>58</v>
      </c>
      <c r="H24" s="28" t="s">
        <v>59</v>
      </c>
      <c r="I24" s="28" t="s">
        <v>60</v>
      </c>
      <c r="J24" s="28" t="s">
        <v>32</v>
      </c>
      <c r="K24" s="29">
        <v>0.8</v>
      </c>
      <c r="L24" s="28">
        <v>7.7</v>
      </c>
      <c r="M24" s="28">
        <v>13</v>
      </c>
      <c r="N24" s="28" t="s">
        <v>61</v>
      </c>
      <c r="O24" s="28">
        <v>0</v>
      </c>
      <c r="P24" s="28">
        <v>0.55</v>
      </c>
      <c r="Q24" s="7"/>
    </row>
    <row r="25" spans="1:17" ht="12.75">
      <c r="A25" s="26"/>
      <c r="B25" s="27" t="s">
        <v>70</v>
      </c>
      <c r="C25" s="28">
        <v>20</v>
      </c>
      <c r="D25" s="28">
        <v>21</v>
      </c>
      <c r="E25" s="28">
        <v>49</v>
      </c>
      <c r="F25" s="28">
        <v>0.35</v>
      </c>
      <c r="G25" s="28" t="s">
        <v>58</v>
      </c>
      <c r="H25" s="28" t="s">
        <v>59</v>
      </c>
      <c r="I25" s="28" t="s">
        <v>60</v>
      </c>
      <c r="J25" s="28" t="s">
        <v>32</v>
      </c>
      <c r="K25" s="29">
        <v>0.8</v>
      </c>
      <c r="L25" s="28">
        <v>7.7</v>
      </c>
      <c r="M25" s="28">
        <v>13</v>
      </c>
      <c r="N25" s="28" t="s">
        <v>61</v>
      </c>
      <c r="O25" s="28">
        <v>0</v>
      </c>
      <c r="P25" s="28">
        <v>0.55</v>
      </c>
      <c r="Q25" s="7"/>
    </row>
    <row r="26" spans="1:17" ht="12.75">
      <c r="A26" s="26"/>
      <c r="B26" s="27" t="s">
        <v>71</v>
      </c>
      <c r="C26" s="28">
        <v>20</v>
      </c>
      <c r="D26" s="28">
        <v>21</v>
      </c>
      <c r="E26" s="28">
        <v>49</v>
      </c>
      <c r="F26" s="28">
        <v>0.35</v>
      </c>
      <c r="G26" s="28" t="s">
        <v>58</v>
      </c>
      <c r="H26" s="28" t="s">
        <v>59</v>
      </c>
      <c r="I26" s="28" t="s">
        <v>60</v>
      </c>
      <c r="J26" s="28" t="s">
        <v>32</v>
      </c>
      <c r="K26" s="29">
        <v>0.8</v>
      </c>
      <c r="L26" s="28">
        <v>7.7</v>
      </c>
      <c r="M26" s="28">
        <v>13</v>
      </c>
      <c r="N26" s="28" t="s">
        <v>61</v>
      </c>
      <c r="O26" s="28">
        <v>0</v>
      </c>
      <c r="P26" s="28">
        <v>0.55</v>
      </c>
      <c r="Q26" s="7"/>
    </row>
    <row r="27" spans="1:21" ht="12.75">
      <c r="A27" s="22"/>
      <c r="B27" s="23"/>
      <c r="C27" s="25"/>
      <c r="D27" s="25"/>
      <c r="E27" s="25"/>
      <c r="F27" s="25"/>
      <c r="G27" s="25"/>
      <c r="H27" s="25"/>
      <c r="I27" s="25"/>
      <c r="J27" s="25"/>
      <c r="K27" s="25"/>
      <c r="L27" s="25"/>
      <c r="M27" s="25"/>
      <c r="N27" s="25"/>
      <c r="O27" s="25"/>
      <c r="P27" s="25"/>
      <c r="Q27" s="9"/>
      <c r="R27" s="10"/>
      <c r="S27" s="10"/>
      <c r="T27" s="10"/>
      <c r="U27" s="10"/>
    </row>
    <row r="28" spans="1:17" ht="13.5" thickBot="1">
      <c r="A28" s="30" t="s">
        <v>72</v>
      </c>
      <c r="B28" s="31" t="s">
        <v>73</v>
      </c>
      <c r="C28" s="32"/>
      <c r="D28" s="32"/>
      <c r="E28" s="32"/>
      <c r="F28" s="32"/>
      <c r="G28" s="32"/>
      <c r="H28" s="32"/>
      <c r="I28" s="32"/>
      <c r="J28" s="32"/>
      <c r="K28" s="32"/>
      <c r="L28" s="32"/>
      <c r="M28" s="33"/>
      <c r="N28" s="33"/>
      <c r="O28" s="33"/>
      <c r="P28" s="33"/>
      <c r="Q28" s="7"/>
    </row>
    <row r="29" spans="1:17" ht="39" thickBot="1">
      <c r="A29" s="19" t="s">
        <v>74</v>
      </c>
      <c r="B29" s="20"/>
      <c r="C29" s="21" t="s">
        <v>44</v>
      </c>
      <c r="D29" s="21" t="s">
        <v>45</v>
      </c>
      <c r="E29" s="21" t="s">
        <v>46</v>
      </c>
      <c r="F29" s="21" t="s">
        <v>47</v>
      </c>
      <c r="G29" s="21" t="s">
        <v>48</v>
      </c>
      <c r="H29" s="21" t="s">
        <v>49</v>
      </c>
      <c r="I29" s="21" t="s">
        <v>50</v>
      </c>
      <c r="J29" s="21" t="s">
        <v>51</v>
      </c>
      <c r="K29" s="21" t="s">
        <v>52</v>
      </c>
      <c r="L29" s="21" t="s">
        <v>53</v>
      </c>
      <c r="M29" s="21" t="s">
        <v>54</v>
      </c>
      <c r="N29" s="21" t="s">
        <v>55</v>
      </c>
      <c r="O29" s="21" t="s">
        <v>56</v>
      </c>
      <c r="P29" s="21" t="s">
        <v>57</v>
      </c>
      <c r="Q29" s="7"/>
    </row>
    <row r="30" spans="1:17" ht="12.75">
      <c r="A30" s="26"/>
      <c r="B30" s="27" t="s">
        <v>6</v>
      </c>
      <c r="C30" s="28">
        <v>30</v>
      </c>
      <c r="D30" s="28">
        <v>21</v>
      </c>
      <c r="E30" s="28">
        <v>38</v>
      </c>
      <c r="F30" s="28">
        <v>0.35</v>
      </c>
      <c r="G30" s="28" t="s">
        <v>58</v>
      </c>
      <c r="H30" s="28" t="s">
        <v>75</v>
      </c>
      <c r="I30" s="28" t="s">
        <v>76</v>
      </c>
      <c r="J30" s="28" t="s">
        <v>11</v>
      </c>
      <c r="K30" s="29">
        <v>0.9</v>
      </c>
      <c r="L30" s="28">
        <v>8.5</v>
      </c>
      <c r="M30" s="28">
        <v>13</v>
      </c>
      <c r="N30" s="28" t="s">
        <v>77</v>
      </c>
      <c r="O30" s="34">
        <v>0.5</v>
      </c>
      <c r="P30" s="28">
        <v>0.58</v>
      </c>
      <c r="Q30" s="7"/>
    </row>
    <row r="31" spans="1:17" ht="12.75">
      <c r="A31" s="26"/>
      <c r="B31" s="27" t="s">
        <v>62</v>
      </c>
      <c r="C31" s="28">
        <v>30</v>
      </c>
      <c r="D31" s="28">
        <v>21</v>
      </c>
      <c r="E31" s="28">
        <v>38</v>
      </c>
      <c r="F31" s="28">
        <v>0.35</v>
      </c>
      <c r="G31" s="28" t="s">
        <v>58</v>
      </c>
      <c r="H31" s="28" t="s">
        <v>75</v>
      </c>
      <c r="I31" s="28" t="s">
        <v>76</v>
      </c>
      <c r="J31" s="28" t="s">
        <v>11</v>
      </c>
      <c r="K31" s="29">
        <v>0.9</v>
      </c>
      <c r="L31" s="28">
        <v>8.5</v>
      </c>
      <c r="M31" s="28">
        <v>13</v>
      </c>
      <c r="N31" s="28" t="s">
        <v>77</v>
      </c>
      <c r="O31" s="34">
        <v>0.5</v>
      </c>
      <c r="P31" s="28">
        <v>0.58</v>
      </c>
      <c r="Q31" s="7"/>
    </row>
    <row r="32" spans="1:17" ht="12.75">
      <c r="A32" s="26"/>
      <c r="B32" s="27" t="s">
        <v>63</v>
      </c>
      <c r="C32" s="28">
        <v>30</v>
      </c>
      <c r="D32" s="28">
        <v>21</v>
      </c>
      <c r="E32" s="28">
        <v>38</v>
      </c>
      <c r="F32" s="28">
        <v>0.35</v>
      </c>
      <c r="G32" s="28" t="s">
        <v>58</v>
      </c>
      <c r="H32" s="28" t="s">
        <v>75</v>
      </c>
      <c r="I32" s="28" t="s">
        <v>76</v>
      </c>
      <c r="J32" s="28" t="s">
        <v>11</v>
      </c>
      <c r="K32" s="29">
        <v>0.9</v>
      </c>
      <c r="L32" s="28">
        <v>8.5</v>
      </c>
      <c r="M32" s="28">
        <v>13</v>
      </c>
      <c r="N32" s="28" t="s">
        <v>77</v>
      </c>
      <c r="O32" s="34">
        <v>0.5</v>
      </c>
      <c r="P32" s="28">
        <v>0.58</v>
      </c>
      <c r="Q32" s="7"/>
    </row>
    <row r="33" spans="1:17" ht="12.75">
      <c r="A33" s="26"/>
      <c r="B33" s="27" t="s">
        <v>64</v>
      </c>
      <c r="C33" s="28">
        <v>30</v>
      </c>
      <c r="D33" s="28">
        <v>21</v>
      </c>
      <c r="E33" s="28">
        <v>38</v>
      </c>
      <c r="F33" s="28">
        <v>0.35</v>
      </c>
      <c r="G33" s="28" t="s">
        <v>58</v>
      </c>
      <c r="H33" s="28" t="s">
        <v>75</v>
      </c>
      <c r="I33" s="28" t="s">
        <v>76</v>
      </c>
      <c r="J33" s="28" t="s">
        <v>11</v>
      </c>
      <c r="K33" s="29">
        <v>0.9</v>
      </c>
      <c r="L33" s="28">
        <v>8.5</v>
      </c>
      <c r="M33" s="28">
        <v>13</v>
      </c>
      <c r="N33" s="28" t="s">
        <v>77</v>
      </c>
      <c r="O33" s="34">
        <v>0.5</v>
      </c>
      <c r="P33" s="28">
        <v>0.58</v>
      </c>
      <c r="Q33" s="7"/>
    </row>
    <row r="34" spans="1:17" ht="12.75">
      <c r="A34" s="26"/>
      <c r="B34" s="27" t="s">
        <v>65</v>
      </c>
      <c r="C34" s="28">
        <v>30</v>
      </c>
      <c r="D34" s="28">
        <v>21</v>
      </c>
      <c r="E34" s="28">
        <v>38</v>
      </c>
      <c r="F34" s="28">
        <v>0.35</v>
      </c>
      <c r="G34" s="28" t="s">
        <v>58</v>
      </c>
      <c r="H34" s="28" t="s">
        <v>75</v>
      </c>
      <c r="I34" s="28" t="s">
        <v>76</v>
      </c>
      <c r="J34" s="28" t="s">
        <v>11</v>
      </c>
      <c r="K34" s="29">
        <v>0.9</v>
      </c>
      <c r="L34" s="28">
        <v>8.5</v>
      </c>
      <c r="M34" s="28">
        <v>13</v>
      </c>
      <c r="N34" s="28" t="s">
        <v>77</v>
      </c>
      <c r="O34" s="34">
        <v>0.5</v>
      </c>
      <c r="P34" s="28">
        <v>0.58</v>
      </c>
      <c r="Q34" s="7"/>
    </row>
    <row r="35" spans="1:17" ht="12.75">
      <c r="A35" s="26"/>
      <c r="B35" s="27" t="s">
        <v>66</v>
      </c>
      <c r="C35" s="28">
        <v>30</v>
      </c>
      <c r="D35" s="28">
        <v>21</v>
      </c>
      <c r="E35" s="28">
        <v>38</v>
      </c>
      <c r="F35" s="28">
        <v>0.35</v>
      </c>
      <c r="G35" s="28" t="s">
        <v>58</v>
      </c>
      <c r="H35" s="28" t="s">
        <v>75</v>
      </c>
      <c r="I35" s="28" t="s">
        <v>76</v>
      </c>
      <c r="J35" s="28" t="s">
        <v>11</v>
      </c>
      <c r="K35" s="29">
        <v>0.9</v>
      </c>
      <c r="L35" s="28">
        <v>8.5</v>
      </c>
      <c r="M35" s="28">
        <v>13</v>
      </c>
      <c r="N35" s="28" t="s">
        <v>77</v>
      </c>
      <c r="O35" s="34">
        <v>0.5</v>
      </c>
      <c r="P35" s="28">
        <v>0.58</v>
      </c>
      <c r="Q35" s="7"/>
    </row>
    <row r="36" spans="1:17" ht="12.75">
      <c r="A36" s="26"/>
      <c r="B36" s="27" t="s">
        <v>67</v>
      </c>
      <c r="C36" s="28">
        <v>30</v>
      </c>
      <c r="D36" s="28">
        <v>21</v>
      </c>
      <c r="E36" s="28">
        <v>38</v>
      </c>
      <c r="F36" s="28">
        <v>0.35</v>
      </c>
      <c r="G36" s="28" t="s">
        <v>58</v>
      </c>
      <c r="H36" s="28" t="s">
        <v>75</v>
      </c>
      <c r="I36" s="28" t="s">
        <v>76</v>
      </c>
      <c r="J36" s="28" t="s">
        <v>32</v>
      </c>
      <c r="K36" s="29">
        <v>0.9</v>
      </c>
      <c r="L36" s="28">
        <v>8.5</v>
      </c>
      <c r="M36" s="28">
        <v>13</v>
      </c>
      <c r="N36" s="28" t="s">
        <v>77</v>
      </c>
      <c r="O36" s="34">
        <v>0.5</v>
      </c>
      <c r="P36" s="28">
        <v>0.58</v>
      </c>
      <c r="Q36" s="7"/>
    </row>
    <row r="37" spans="1:17" ht="12.75">
      <c r="A37" s="26"/>
      <c r="B37" s="27" t="s">
        <v>68</v>
      </c>
      <c r="C37" s="28">
        <v>30</v>
      </c>
      <c r="D37" s="28">
        <v>21</v>
      </c>
      <c r="E37" s="28">
        <v>49</v>
      </c>
      <c r="F37" s="28">
        <v>0.35</v>
      </c>
      <c r="G37" s="28" t="s">
        <v>58</v>
      </c>
      <c r="H37" s="28" t="s">
        <v>75</v>
      </c>
      <c r="I37" s="28" t="s">
        <v>76</v>
      </c>
      <c r="J37" s="28" t="s">
        <v>32</v>
      </c>
      <c r="K37" s="29">
        <v>0.9</v>
      </c>
      <c r="L37" s="28">
        <v>8.5</v>
      </c>
      <c r="M37" s="28">
        <v>13</v>
      </c>
      <c r="N37" s="28" t="s">
        <v>77</v>
      </c>
      <c r="O37" s="34">
        <v>0.5</v>
      </c>
      <c r="P37" s="28">
        <v>0.58</v>
      </c>
      <c r="Q37" s="7"/>
    </row>
    <row r="38" spans="1:17" ht="12.75">
      <c r="A38" s="26"/>
      <c r="B38" s="27" t="s">
        <v>69</v>
      </c>
      <c r="C38" s="28">
        <v>30</v>
      </c>
      <c r="D38" s="28">
        <v>21</v>
      </c>
      <c r="E38" s="28">
        <v>49</v>
      </c>
      <c r="F38" s="28">
        <v>0.35</v>
      </c>
      <c r="G38" s="28" t="s">
        <v>58</v>
      </c>
      <c r="H38" s="28" t="s">
        <v>75</v>
      </c>
      <c r="I38" s="28" t="s">
        <v>76</v>
      </c>
      <c r="J38" s="28" t="s">
        <v>32</v>
      </c>
      <c r="K38" s="29">
        <v>0.9</v>
      </c>
      <c r="L38" s="28">
        <v>8.5</v>
      </c>
      <c r="M38" s="28">
        <v>13</v>
      </c>
      <c r="N38" s="28" t="s">
        <v>77</v>
      </c>
      <c r="O38" s="34">
        <v>0.5</v>
      </c>
      <c r="P38" s="28">
        <v>0.58</v>
      </c>
      <c r="Q38" s="7"/>
    </row>
    <row r="39" spans="1:17" ht="12.75">
      <c r="A39" s="26"/>
      <c r="B39" s="27" t="s">
        <v>70</v>
      </c>
      <c r="C39" s="28">
        <v>30</v>
      </c>
      <c r="D39" s="28">
        <v>21</v>
      </c>
      <c r="E39" s="28">
        <v>49</v>
      </c>
      <c r="F39" s="28">
        <v>0.35</v>
      </c>
      <c r="G39" s="28" t="s">
        <v>58</v>
      </c>
      <c r="H39" s="28" t="s">
        <v>75</v>
      </c>
      <c r="I39" s="28" t="s">
        <v>76</v>
      </c>
      <c r="J39" s="28" t="s">
        <v>32</v>
      </c>
      <c r="K39" s="29">
        <v>0.9</v>
      </c>
      <c r="L39" s="28">
        <v>8.5</v>
      </c>
      <c r="M39" s="28">
        <v>13</v>
      </c>
      <c r="N39" s="28" t="s">
        <v>77</v>
      </c>
      <c r="O39" s="34">
        <v>0.5</v>
      </c>
      <c r="P39" s="28">
        <v>0.58</v>
      </c>
      <c r="Q39" s="7"/>
    </row>
    <row r="40" spans="1:17" ht="13.5" thickBot="1">
      <c r="A40" s="35"/>
      <c r="B40" s="36" t="s">
        <v>71</v>
      </c>
      <c r="C40" s="37">
        <v>30</v>
      </c>
      <c r="D40" s="37">
        <v>21</v>
      </c>
      <c r="E40" s="37">
        <v>49</v>
      </c>
      <c r="F40" s="37">
        <v>0.35</v>
      </c>
      <c r="G40" s="37" t="s">
        <v>58</v>
      </c>
      <c r="H40" s="37" t="s">
        <v>75</v>
      </c>
      <c r="I40" s="37" t="s">
        <v>76</v>
      </c>
      <c r="J40" s="37" t="s">
        <v>32</v>
      </c>
      <c r="K40" s="38">
        <v>0.9</v>
      </c>
      <c r="L40" s="37">
        <v>8.5</v>
      </c>
      <c r="M40" s="37">
        <v>13</v>
      </c>
      <c r="N40" s="37" t="s">
        <v>77</v>
      </c>
      <c r="O40" s="39">
        <v>0.5</v>
      </c>
      <c r="P40" s="37">
        <v>0.58</v>
      </c>
      <c r="Q40" s="7"/>
    </row>
  </sheetData>
  <mergeCells count="1">
    <mergeCell ref="A1:P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3"/>
  <dimension ref="A1:T55"/>
  <sheetViews>
    <sheetView workbookViewId="0" topLeftCell="A1">
      <selection activeCell="B28" sqref="B28"/>
    </sheetView>
  </sheetViews>
  <sheetFormatPr defaultColWidth="9.140625" defaultRowHeight="12.75"/>
  <cols>
    <col min="1" max="1" width="32.8515625" style="6" customWidth="1"/>
    <col min="2" max="2" width="14.421875" style="5" customWidth="1"/>
    <col min="3" max="3" width="17.57421875" style="5" customWidth="1"/>
    <col min="4" max="4" width="8.8515625" style="5" customWidth="1"/>
    <col min="5" max="5" width="21.00390625" style="5" customWidth="1"/>
    <col min="6" max="16384" width="8.8515625" style="5" customWidth="1"/>
  </cols>
  <sheetData>
    <row r="1" spans="1:20" ht="41.25" customHeight="1" thickBot="1">
      <c r="A1" s="305" t="s">
        <v>78</v>
      </c>
      <c r="B1" s="306"/>
      <c r="C1" s="306"/>
      <c r="D1" s="306"/>
      <c r="E1" s="306"/>
      <c r="F1" s="306"/>
      <c r="G1" s="306"/>
      <c r="H1" s="306"/>
      <c r="I1" s="306"/>
      <c r="J1" s="306"/>
      <c r="K1" s="306"/>
      <c r="L1" s="306"/>
      <c r="M1" s="306"/>
      <c r="N1" s="306"/>
      <c r="O1" s="306"/>
      <c r="P1" s="306"/>
      <c r="Q1" s="306"/>
      <c r="R1" s="306"/>
      <c r="S1" s="307"/>
      <c r="T1" s="23"/>
    </row>
    <row r="2" spans="1:20" ht="12.75">
      <c r="A2" s="40"/>
      <c r="B2" s="23"/>
      <c r="C2" s="23"/>
      <c r="D2" s="23"/>
      <c r="E2" s="23"/>
      <c r="F2" s="23"/>
      <c r="G2" s="23"/>
      <c r="H2" s="23"/>
      <c r="I2" s="23"/>
      <c r="J2" s="23"/>
      <c r="K2" s="23"/>
      <c r="L2" s="23"/>
      <c r="M2" s="23"/>
      <c r="N2" s="23"/>
      <c r="O2" s="23"/>
      <c r="P2" s="23"/>
      <c r="Q2" s="23"/>
      <c r="R2" s="23"/>
      <c r="S2" s="43"/>
      <c r="T2" s="23"/>
    </row>
    <row r="3" spans="1:20" ht="13.5" thickBot="1">
      <c r="A3" s="40"/>
      <c r="B3" s="23"/>
      <c r="C3" s="23"/>
      <c r="D3" s="23"/>
      <c r="E3" s="23"/>
      <c r="F3" s="23"/>
      <c r="G3" s="23"/>
      <c r="H3" s="23"/>
      <c r="I3" s="23"/>
      <c r="J3" s="23"/>
      <c r="K3" s="23"/>
      <c r="L3" s="23"/>
      <c r="M3" s="23"/>
      <c r="N3" s="23"/>
      <c r="O3" s="23"/>
      <c r="P3" s="23"/>
      <c r="Q3" s="23"/>
      <c r="R3" s="23"/>
      <c r="S3" s="43"/>
      <c r="T3" s="23"/>
    </row>
    <row r="4" spans="1:20" ht="12.75">
      <c r="A4" s="41"/>
      <c r="B4" s="11"/>
      <c r="C4" s="42"/>
      <c r="D4" s="23"/>
      <c r="E4" s="51"/>
      <c r="F4" s="52" t="s">
        <v>79</v>
      </c>
      <c r="G4" s="52"/>
      <c r="H4" s="52"/>
      <c r="I4" s="52" t="s">
        <v>80</v>
      </c>
      <c r="J4" s="52"/>
      <c r="K4" s="52"/>
      <c r="L4" s="52" t="s">
        <v>81</v>
      </c>
      <c r="M4" s="52"/>
      <c r="N4" s="52" t="s">
        <v>82</v>
      </c>
      <c r="O4" s="52"/>
      <c r="P4" s="52" t="s">
        <v>83</v>
      </c>
      <c r="Q4" s="52"/>
      <c r="R4" s="52" t="s">
        <v>84</v>
      </c>
      <c r="S4" s="53"/>
      <c r="T4" s="23"/>
    </row>
    <row r="5" spans="1:20" ht="13.5" thickBot="1">
      <c r="A5" s="40" t="s">
        <v>85</v>
      </c>
      <c r="B5" s="12">
        <f>Inputs!C8</f>
        <v>2500</v>
      </c>
      <c r="C5" s="43" t="s">
        <v>2</v>
      </c>
      <c r="D5" s="23"/>
      <c r="E5" s="54"/>
      <c r="F5" s="55" t="s">
        <v>86</v>
      </c>
      <c r="G5" s="55" t="s">
        <v>87</v>
      </c>
      <c r="H5" s="55"/>
      <c r="I5" s="55" t="s">
        <v>86</v>
      </c>
      <c r="J5" s="55" t="s">
        <v>87</v>
      </c>
      <c r="K5" s="55"/>
      <c r="L5" s="55" t="s">
        <v>87</v>
      </c>
      <c r="M5" s="55"/>
      <c r="N5" s="55" t="s">
        <v>88</v>
      </c>
      <c r="O5" s="55"/>
      <c r="P5" s="55" t="s">
        <v>87</v>
      </c>
      <c r="Q5" s="55"/>
      <c r="R5" s="55" t="s">
        <v>87</v>
      </c>
      <c r="S5" s="56"/>
      <c r="T5" s="23"/>
    </row>
    <row r="6" spans="1:20" ht="12.75">
      <c r="A6" s="40" t="s">
        <v>89</v>
      </c>
      <c r="B6" s="12" t="str">
        <f>Inputs!C9</f>
        <v>Portland</v>
      </c>
      <c r="C6" s="43"/>
      <c r="D6" s="50"/>
      <c r="E6" s="26" t="s">
        <v>6</v>
      </c>
      <c r="F6" s="27">
        <f>IF(AND($B$6=E6,$B$5&lt;=Savings!$A16,$B$5&gt;Savings!$A4),Savings!$K4,0)</f>
        <v>154.568</v>
      </c>
      <c r="G6" s="27">
        <f>IF(AND($B$6=E6,$B$5&lt;=Savings!$A16,$B$5&gt;Savings!$A4,$B$8=$E$48),Savings!$L4,0)</f>
        <v>1348.21</v>
      </c>
      <c r="H6" s="27"/>
      <c r="I6" s="27">
        <f>IF(AND($B$6=$E6,$B$5&gt;Savings!$A16),Savings!$N4,0)</f>
        <v>0</v>
      </c>
      <c r="J6" s="27">
        <f>IF(AND($B$6=$E6,$B$5&gt;Savings!$A16,$B$8=$E$48),Savings!$O4,0)</f>
        <v>0</v>
      </c>
      <c r="K6" s="27"/>
      <c r="L6" s="27">
        <f>IF(AND($B$6=$E6,$B$8=$E$49,I6=0),Savings!$M4,0)</f>
        <v>0</v>
      </c>
      <c r="M6" s="27"/>
      <c r="N6" s="27">
        <f>IF(AND($B$6=$E6,$B$8=$E$49,F6=0),Savings!$P4,0)</f>
        <v>0</v>
      </c>
      <c r="O6" s="27"/>
      <c r="P6" s="27">
        <f>IF(AND($B$6=$E6,$B$7=$E$51,B5&lt;=Savings!A16),Savings!$Q4,0)</f>
        <v>0</v>
      </c>
      <c r="Q6" s="27"/>
      <c r="R6" s="27">
        <f>IF(AND($B$6=$E6,$B$7=$E$51,B5&gt;Savings!A16),Savings!$R4,0)</f>
        <v>0</v>
      </c>
      <c r="S6" s="57"/>
      <c r="T6" s="23"/>
    </row>
    <row r="7" spans="1:20" ht="12.75">
      <c r="A7" s="40" t="s">
        <v>90</v>
      </c>
      <c r="B7" s="12" t="str">
        <f>Inputs!C10</f>
        <v>Gas Furnace</v>
      </c>
      <c r="C7" s="43"/>
      <c r="D7" s="23"/>
      <c r="E7" s="26" t="s">
        <v>62</v>
      </c>
      <c r="F7" s="27">
        <f>IF(AND($B$6=E7,$B$5&lt;=Savings!$A17,$B$5&gt;Savings!$A5),Savings!$K5,0)</f>
        <v>0</v>
      </c>
      <c r="G7" s="27">
        <f>IF(AND($B$6=E7,$B$5&lt;=Savings!$A17,$B$5&gt;Savings!$A5,$B$8=$E$48),Savings!$L5,0)</f>
        <v>0</v>
      </c>
      <c r="H7" s="27"/>
      <c r="I7" s="27">
        <f>IF(AND($B$6=$E7,$B$5&gt;Savings!$A17),Savings!$N5,0)</f>
        <v>0</v>
      </c>
      <c r="J7" s="27">
        <f>IF(AND($B$6=$E7,$B$5&gt;Savings!$A17,$B$8=$E$48),Savings!$O5,0)</f>
        <v>0</v>
      </c>
      <c r="K7" s="27"/>
      <c r="L7" s="27">
        <f>IF(AND($B$6=$E7,$B$8=$E$49,I7=0),Savings!$M5,0)</f>
        <v>0</v>
      </c>
      <c r="M7" s="27"/>
      <c r="N7" s="27">
        <f>IF(AND($B$6=$E7,$B$8=$E$49,F7=0),Savings!$P5,0)</f>
        <v>0</v>
      </c>
      <c r="O7" s="27"/>
      <c r="P7" s="27">
        <f>IF(AND($B$6=$E7,$B$7=$E$51,B6&lt;=Savings!A17),Savings!$Q5,0)</f>
        <v>0</v>
      </c>
      <c r="Q7" s="27"/>
      <c r="R7" s="27">
        <f>IF(AND($B$6=$E7,$B$7=$E$51,B6&gt;Savings!A17),Savings!$R5,0)</f>
        <v>0</v>
      </c>
      <c r="S7" s="57"/>
      <c r="T7" s="23"/>
    </row>
    <row r="8" spans="1:20" ht="12.75">
      <c r="A8" s="40" t="s">
        <v>91</v>
      </c>
      <c r="B8" s="12" t="str">
        <f>Inputs!C11</f>
        <v>Yes</v>
      </c>
      <c r="C8" s="43"/>
      <c r="D8" s="23"/>
      <c r="E8" s="26" t="s">
        <v>63</v>
      </c>
      <c r="F8" s="27">
        <f>IF(AND($B$6=E8,$B$5&lt;=Savings!$A18,$B$5&gt;Savings!$A6),Savings!$K6,0)</f>
        <v>0</v>
      </c>
      <c r="G8" s="27">
        <f>IF(AND($B$6=E8,$B$5&lt;=Savings!$A18,$B$5&gt;Savings!$A6,$B$8=$E$48),Savings!$L6,0)</f>
        <v>0</v>
      </c>
      <c r="H8" s="27"/>
      <c r="I8" s="27">
        <f>IF(AND($B$6=$E8,$B$5&gt;Savings!$A18),Savings!$N6,0)</f>
        <v>0</v>
      </c>
      <c r="J8" s="27">
        <f>IF(AND($B$6=$E8,$B$5&gt;Savings!$A18,$B$8=$E$48),Savings!$O6,0)</f>
        <v>0</v>
      </c>
      <c r="K8" s="27"/>
      <c r="L8" s="27">
        <f>IF(AND($B$6=$E8,$B$8=$E$49,I8=0),Savings!$M6,0)</f>
        <v>0</v>
      </c>
      <c r="M8" s="27"/>
      <c r="N8" s="27">
        <f>IF(AND($B$6=$E8,$B$8=$E$49,F8=0),Savings!$P6,0)</f>
        <v>0</v>
      </c>
      <c r="O8" s="27"/>
      <c r="P8" s="27">
        <f>IF(AND($B$6=$E8,$B$7=$E$51,B7&lt;=Savings!A18),Savings!$Q6,0)</f>
        <v>0</v>
      </c>
      <c r="Q8" s="27"/>
      <c r="R8" s="27">
        <f>IF(AND($B$6=$E8,$B$7=$E$51,B7&gt;Savings!A18),Savings!$R6,0)</f>
        <v>0</v>
      </c>
      <c r="S8" s="57"/>
      <c r="T8" s="23"/>
    </row>
    <row r="9" spans="1:20" ht="12.75">
      <c r="A9" s="40" t="s">
        <v>92</v>
      </c>
      <c r="B9" s="12">
        <f>Inputs!C14</f>
        <v>2000</v>
      </c>
      <c r="C9" s="43"/>
      <c r="D9" s="23"/>
      <c r="E9" s="26" t="s">
        <v>64</v>
      </c>
      <c r="F9" s="27">
        <f>IF(AND($B$6=E9,$B$5&lt;=Savings!$A19,$B$5&gt;Savings!$A7),Savings!$K7,0)</f>
        <v>0</v>
      </c>
      <c r="G9" s="27">
        <f>IF(AND($B$6=E9,$B$5&lt;=Savings!$A19,$B$5&gt;Savings!$A7,$B$8=$E$48),Savings!$L7,0)</f>
        <v>0</v>
      </c>
      <c r="H9" s="27"/>
      <c r="I9" s="27">
        <f>IF(AND($B$6=$E9,$B$5&gt;Savings!$A19),Savings!$N7,0)</f>
        <v>0</v>
      </c>
      <c r="J9" s="27">
        <f>IF(AND($B$6=$E9,$B$5&gt;Savings!$A19,$B$8=$E$48),Savings!$O7,0)</f>
        <v>0</v>
      </c>
      <c r="K9" s="27"/>
      <c r="L9" s="27">
        <f>IF(AND($B$6=$E9,$B$8=$E$49,I9=0),Savings!$M7,0)</f>
        <v>0</v>
      </c>
      <c r="M9" s="27"/>
      <c r="N9" s="27">
        <f>IF(AND($B$6=$E9,$B$8=$E$49,F9=0),Savings!$P7,0)</f>
        <v>0</v>
      </c>
      <c r="O9" s="27"/>
      <c r="P9" s="27">
        <f>IF(AND($B$6=$E9,$B$7=$E$51,B8&lt;=Savings!A19),Savings!$Q7,0)</f>
        <v>0</v>
      </c>
      <c r="Q9" s="27"/>
      <c r="R9" s="27">
        <f>IF(AND($B$6=$E9,$B$7=$E$51,B8&gt;Savings!A19),Savings!$R7,0)</f>
        <v>0</v>
      </c>
      <c r="S9" s="57"/>
      <c r="T9" s="23"/>
    </row>
    <row r="10" spans="1:20" ht="12.75">
      <c r="A10" s="40" t="s">
        <v>93</v>
      </c>
      <c r="B10" s="13">
        <f>Inputs!C17</f>
        <v>0.065</v>
      </c>
      <c r="C10" s="43"/>
      <c r="D10" s="23"/>
      <c r="E10" s="26" t="s">
        <v>65</v>
      </c>
      <c r="F10" s="27">
        <f>IF(AND($B$6=E10,$B$5&lt;=Savings!$A20,$B$5&gt;Savings!$A8),Savings!$K8,0)</f>
        <v>0</v>
      </c>
      <c r="G10" s="27">
        <f>IF(AND($B$6=E10,$B$5&lt;=Savings!$A20,$B$5&gt;Savings!$A8,$B$8=$E$48),Savings!$L8,0)</f>
        <v>0</v>
      </c>
      <c r="H10" s="27"/>
      <c r="I10" s="27">
        <f>IF(AND($B$6=$E10,$B$5&gt;Savings!$A20),Savings!$N8,0)</f>
        <v>0</v>
      </c>
      <c r="J10" s="27">
        <f>IF(AND($B$6=$E10,$B$5&gt;Savings!$A20,$B$8=$E$48),Savings!$O8,0)</f>
        <v>0</v>
      </c>
      <c r="K10" s="27"/>
      <c r="L10" s="27">
        <f>IF(AND($B$6=$E10,$B$8=$E$49,I10=0),Savings!$M8,0)</f>
        <v>0</v>
      </c>
      <c r="M10" s="27"/>
      <c r="N10" s="27">
        <f>IF(AND($B$6=$E10,$B$8=$E$49,F10=0),Savings!$P8,0)</f>
        <v>0</v>
      </c>
      <c r="O10" s="27"/>
      <c r="P10" s="27">
        <f>IF(AND($B$6=$E10,$B$7=$E$51,B9&lt;=Savings!A20),Savings!$Q8,0)</f>
        <v>0</v>
      </c>
      <c r="Q10" s="27"/>
      <c r="R10" s="27">
        <f>IF(AND($B$6=$E10,$B$7=$E$51,B9&gt;Savings!A20),Savings!$R8,0)</f>
        <v>0</v>
      </c>
      <c r="S10" s="57"/>
      <c r="T10" s="23"/>
    </row>
    <row r="11" spans="1:20" ht="12.75">
      <c r="A11" s="40" t="s">
        <v>94</v>
      </c>
      <c r="B11" s="12">
        <f>Inputs!C19</f>
        <v>30</v>
      </c>
      <c r="C11" s="43" t="s">
        <v>21</v>
      </c>
      <c r="D11" s="23"/>
      <c r="E11" s="26" t="s">
        <v>66</v>
      </c>
      <c r="F11" s="27">
        <f>IF(AND($B$6=E11,$B$5&lt;=Savings!$A21,$B$5&gt;Savings!$A9),Savings!$K9,0)</f>
        <v>0</v>
      </c>
      <c r="G11" s="27">
        <f>IF(AND($B$6=E11,$B$5&lt;=Savings!$A21,$B$5&gt;Savings!$A9,$B$8=$E$48),Savings!$L9,0)</f>
        <v>0</v>
      </c>
      <c r="H11" s="27"/>
      <c r="I11" s="27">
        <f>IF(AND($B$6=$E11,$B$5&gt;Savings!$A21),Savings!$N9,0)</f>
        <v>0</v>
      </c>
      <c r="J11" s="27">
        <f>IF(AND($B$6=$E11,$B$5&gt;Savings!$A21,$B$8=$E$48),Savings!$O9,0)</f>
        <v>0</v>
      </c>
      <c r="K11" s="27"/>
      <c r="L11" s="27">
        <f>IF(AND($B$6=$E11,$B$8=$E$49,I11=0),Savings!$M9,0)</f>
        <v>0</v>
      </c>
      <c r="M11" s="27"/>
      <c r="N11" s="27">
        <f>IF(AND($B$6=$E11,$B$8=$E$49,F11=0),Savings!$P9,0)</f>
        <v>0</v>
      </c>
      <c r="O11" s="27"/>
      <c r="P11" s="27">
        <f>IF(AND($B$6=$E11,$B$7=$E$51,B10&lt;=Savings!A21),Savings!$Q9,0)</f>
        <v>0</v>
      </c>
      <c r="Q11" s="27"/>
      <c r="R11" s="27">
        <f>IF(AND($B$6=$E11,$B$7=$E$51,B10&gt;Savings!A21),Savings!$R9,0)</f>
        <v>0</v>
      </c>
      <c r="S11" s="57"/>
      <c r="T11" s="23"/>
    </row>
    <row r="12" spans="1:20" ht="12.75">
      <c r="A12" s="40" t="s">
        <v>95</v>
      </c>
      <c r="B12" s="14">
        <f>Inputs!C20</f>
        <v>1.19</v>
      </c>
      <c r="C12" s="43" t="s">
        <v>23</v>
      </c>
      <c r="D12" s="23"/>
      <c r="E12" s="26" t="s">
        <v>67</v>
      </c>
      <c r="F12" s="27">
        <f>IF(AND($B$6=E12,$B$5&lt;=Savings!$A22,$B$5&gt;Savings!$A10),Savings!$K10,0)</f>
        <v>0</v>
      </c>
      <c r="G12" s="27">
        <f>IF(AND($B$6=E12,$B$5&lt;=Savings!$A22,$B$5&gt;Savings!$A10,$B$8=$E$48),Savings!$L10,0)</f>
        <v>0</v>
      </c>
      <c r="H12" s="27"/>
      <c r="I12" s="27">
        <f>IF(AND($B$6=$E12,$B$5&gt;Savings!$A22),Savings!$N10,0)</f>
        <v>0</v>
      </c>
      <c r="J12" s="27">
        <f>IF(AND($B$6=$E12,$B$5&gt;Savings!$A22,$B$8=$E$48),Savings!$O10,0)</f>
        <v>0</v>
      </c>
      <c r="K12" s="27"/>
      <c r="L12" s="27">
        <f>IF(AND($B$6=$E12,$B$8=$E$49,I12=0),Savings!$M10,0)</f>
        <v>0</v>
      </c>
      <c r="M12" s="27"/>
      <c r="N12" s="27">
        <f>IF(AND($B$6=$E12,$B$8=$E$49,F12=0),Savings!$P10,0)</f>
        <v>0</v>
      </c>
      <c r="O12" s="27"/>
      <c r="P12" s="27">
        <f>IF(AND($B$6=$E12,$B$7=$E$51,B11&lt;=Savings!A22),Savings!$Q10,0)</f>
        <v>0</v>
      </c>
      <c r="Q12" s="27"/>
      <c r="R12" s="27">
        <f>IF(AND($B$6=$E12,$B$7=$E$51,B11&gt;Savings!A22),Savings!$R10,0)</f>
        <v>0</v>
      </c>
      <c r="S12" s="57"/>
      <c r="T12" s="23"/>
    </row>
    <row r="13" spans="1:20" ht="12.75">
      <c r="A13" s="40" t="s">
        <v>96</v>
      </c>
      <c r="B13" s="15">
        <f>Inputs!C21</f>
        <v>0.07</v>
      </c>
      <c r="C13" s="43" t="s">
        <v>25</v>
      </c>
      <c r="D13" s="23"/>
      <c r="E13" s="26" t="s">
        <v>68</v>
      </c>
      <c r="F13" s="27">
        <f>IF(AND($B$6=E13,$B$5&lt;=Savings!$A23,$B$5&gt;Savings!$A11),Savings!$K11,0)</f>
        <v>0</v>
      </c>
      <c r="G13" s="27">
        <f>IF(AND($B$6=E13,$B$5&lt;=Savings!$A23,$B$5&gt;Savings!$A11,$B$8=$E$48),Savings!$L11,0)</f>
        <v>0</v>
      </c>
      <c r="H13" s="27"/>
      <c r="I13" s="27">
        <f>IF(AND($B$6=$E13,$B$5&gt;Savings!$A23),Savings!$N11,0)</f>
        <v>0</v>
      </c>
      <c r="J13" s="27">
        <f>IF(AND($B$6=$E13,$B$5&gt;Savings!$A23,$B$8=$E$48),Savings!$O11,0)</f>
        <v>0</v>
      </c>
      <c r="K13" s="27"/>
      <c r="L13" s="27">
        <f>IF(AND($B$6=$E13,$B$8=$E$49,I13=0),Savings!$M11,0)</f>
        <v>0</v>
      </c>
      <c r="M13" s="27"/>
      <c r="N13" s="27">
        <f>IF(AND($B$6=$E13,$B$8=$E$49,F13=0),Savings!$P11,0)</f>
        <v>0</v>
      </c>
      <c r="O13" s="27"/>
      <c r="P13" s="27">
        <f>IF(AND($B$6=$E13,$B$7=$E$51,B12&lt;=Savings!A23),Savings!$Q11,0)</f>
        <v>0</v>
      </c>
      <c r="Q13" s="27"/>
      <c r="R13" s="27">
        <f>IF(AND($B$6=$E13,$B$7=$E$51,B12&gt;Savings!A23),Savings!$R11,0)</f>
        <v>0</v>
      </c>
      <c r="S13" s="57"/>
      <c r="T13" s="23"/>
    </row>
    <row r="14" spans="1:20" ht="12.75">
      <c r="A14" s="40" t="s">
        <v>97</v>
      </c>
      <c r="B14" s="16">
        <f>Inputs!C22</f>
        <v>6</v>
      </c>
      <c r="C14" s="43" t="s">
        <v>27</v>
      </c>
      <c r="D14" s="23"/>
      <c r="E14" s="26" t="s">
        <v>69</v>
      </c>
      <c r="F14" s="27">
        <f>IF(AND($B$6=E14,$B$5&lt;=Savings!$A24,$B$5&gt;Savings!$A12),Savings!$K12,0)</f>
        <v>0</v>
      </c>
      <c r="G14" s="27">
        <f>IF(AND($B$6=E14,$B$5&lt;=Savings!$A24,$B$5&gt;Savings!$A12,$B$8=$E$48),Savings!$L12,0)</f>
        <v>0</v>
      </c>
      <c r="H14" s="27"/>
      <c r="I14" s="27">
        <f>IF(AND($B$6=$E14,$B$5&gt;Savings!$A24),Savings!$N12,0)</f>
        <v>0</v>
      </c>
      <c r="J14" s="27">
        <f>IF(AND($B$6=$E14,$B$5&gt;Savings!$A24,$B$8=$E$48),Savings!$O12,0)</f>
        <v>0</v>
      </c>
      <c r="K14" s="27"/>
      <c r="L14" s="27">
        <f>IF(AND($B$6=$E14,$B$8=$E$49,I14=0),Savings!$M12,0)</f>
        <v>0</v>
      </c>
      <c r="M14" s="27"/>
      <c r="N14" s="27">
        <f>IF(AND($B$6=$E14,$B$8=$E$49,F14=0),Savings!$P12,0)</f>
        <v>0</v>
      </c>
      <c r="O14" s="27"/>
      <c r="P14" s="27">
        <f>IF(AND($B$6=$E14,$B$7=$E$51,B13&lt;=Savings!A24),Savings!$Q12,0)</f>
        <v>0</v>
      </c>
      <c r="Q14" s="27"/>
      <c r="R14" s="27">
        <f>IF(AND($B$6=$E14,$B$7=$E$51,B13&gt;Savings!A24),Savings!$R12,0)</f>
        <v>0</v>
      </c>
      <c r="S14" s="57"/>
      <c r="T14" s="23"/>
    </row>
    <row r="15" spans="1:20" ht="12.75">
      <c r="A15" s="40" t="s">
        <v>98</v>
      </c>
      <c r="B15" s="16">
        <f>Inputs!C23</f>
        <v>10</v>
      </c>
      <c r="C15" s="43" t="s">
        <v>27</v>
      </c>
      <c r="D15" s="23"/>
      <c r="E15" s="26" t="s">
        <v>70</v>
      </c>
      <c r="F15" s="27">
        <f>IF(AND($B$6=E15,$B$5&lt;=Savings!$A25,$B$5&gt;Savings!$A13),Savings!$K13,0)</f>
        <v>0</v>
      </c>
      <c r="G15" s="27">
        <f>IF(AND($B$6=E15,$B$5&lt;=Savings!$A25,$B$5&gt;Savings!$A13,$B$8=$E$48),Savings!$L13,0)</f>
        <v>0</v>
      </c>
      <c r="H15" s="27"/>
      <c r="I15" s="27">
        <f>IF(AND($B$6=$E15,$B$5&gt;Savings!$A25),Savings!$N13,0)</f>
        <v>0</v>
      </c>
      <c r="J15" s="27">
        <f>IF(AND($B$6=$E15,$B$5&gt;Savings!$A25,$B$8=$E$48),Savings!$O13,0)</f>
        <v>0</v>
      </c>
      <c r="K15" s="27"/>
      <c r="L15" s="27">
        <f>IF(AND($B$6=$E15,$B$8=$E$49,I15=0),Savings!$M13,0)</f>
        <v>0</v>
      </c>
      <c r="M15" s="27"/>
      <c r="N15" s="27">
        <f>IF(AND($B$6=$E15,$B$8=$E$49,F15=0),Savings!$P13,0)</f>
        <v>0</v>
      </c>
      <c r="O15" s="27"/>
      <c r="P15" s="27">
        <f>IF(AND($B$6=$E15,$B$7=$E$51,B14&lt;=Savings!A25),Savings!$Q13,0)</f>
        <v>0</v>
      </c>
      <c r="Q15" s="27"/>
      <c r="R15" s="27">
        <f>IF(AND($B$6=$E15,$B$7=$E$51,B14&gt;Savings!A25),Savings!$R13,0)</f>
        <v>0</v>
      </c>
      <c r="S15" s="57"/>
      <c r="T15" s="23"/>
    </row>
    <row r="16" spans="1:20" ht="12.75">
      <c r="A16" s="40" t="s">
        <v>99</v>
      </c>
      <c r="B16" s="13">
        <f>Inputs!C24</f>
        <v>0.06</v>
      </c>
      <c r="C16" s="43"/>
      <c r="D16" s="23"/>
      <c r="E16" s="26" t="s">
        <v>71</v>
      </c>
      <c r="F16" s="27">
        <f>IF(AND($B$6=E16,$B$5&lt;=Savings!$A26,$B$5&gt;Savings!$A14),Savings!$K14,0)</f>
        <v>0</v>
      </c>
      <c r="G16" s="27">
        <f>IF(AND($B$6=E16,$B$5&lt;=Savings!$A26,$B$5&gt;Savings!$A14,$B$8=$E$48),Savings!$L14,0)</f>
        <v>0</v>
      </c>
      <c r="H16" s="27"/>
      <c r="I16" s="27">
        <f>IF(AND($B$6=$E16,$B$5&gt;Savings!$A26),Savings!$N14,0)</f>
        <v>0</v>
      </c>
      <c r="J16" s="27">
        <f>IF(AND($B$6=$E16,$B$5&gt;Savings!$A26,$B$8=$E$48),Savings!$O14,0)</f>
        <v>0</v>
      </c>
      <c r="K16" s="27"/>
      <c r="L16" s="27">
        <f>IF(AND($B$6=$E16,$B$8=$E$49,I16=0),Savings!$M14,0)</f>
        <v>0</v>
      </c>
      <c r="M16" s="27"/>
      <c r="N16" s="27">
        <f>IF(AND($B$6=$E16,$B$8=$E$49,F16=0),Savings!$P14,0)</f>
        <v>0</v>
      </c>
      <c r="O16" s="27"/>
      <c r="P16" s="27">
        <f>IF(AND($B$6=$E16,$B$7=$E$51,B15&lt;=Savings!A26),Savings!$Q14,0)</f>
        <v>0</v>
      </c>
      <c r="Q16" s="27"/>
      <c r="R16" s="27">
        <f>IF(AND($B$6=$E16,$B$7=$E$51,B15&gt;Savings!A26),Savings!$R14,0)</f>
        <v>0</v>
      </c>
      <c r="S16" s="57"/>
      <c r="T16" s="23"/>
    </row>
    <row r="17" spans="1:20" ht="12.75">
      <c r="A17" s="40" t="s">
        <v>100</v>
      </c>
      <c r="B17" s="13">
        <f>Inputs!C25</f>
        <v>0.04</v>
      </c>
      <c r="C17" s="43"/>
      <c r="D17" s="23"/>
      <c r="E17" s="26" t="s">
        <v>101</v>
      </c>
      <c r="F17" s="27">
        <f>SUM(F6:F16)</f>
        <v>154.568</v>
      </c>
      <c r="G17" s="27">
        <f>SUM(G6:G16)</f>
        <v>1348.21</v>
      </c>
      <c r="H17" s="27"/>
      <c r="I17" s="27">
        <f>SUM(I6:I16)</f>
        <v>0</v>
      </c>
      <c r="J17" s="27">
        <f>SUM(J6:J16)</f>
        <v>0</v>
      </c>
      <c r="K17" s="27"/>
      <c r="L17" s="27">
        <f>SUM(L6:L16)</f>
        <v>0</v>
      </c>
      <c r="M17" s="27"/>
      <c r="N17" s="27">
        <f>SUM(N6:N16)</f>
        <v>0</v>
      </c>
      <c r="O17" s="27"/>
      <c r="P17" s="27">
        <f>SUM(P6:P16)</f>
        <v>0</v>
      </c>
      <c r="Q17" s="27"/>
      <c r="R17" s="27">
        <f>SUM(R6:R16)</f>
        <v>0</v>
      </c>
      <c r="S17" s="57"/>
      <c r="T17" s="23"/>
    </row>
    <row r="18" spans="1:20" ht="13.5" thickBot="1">
      <c r="A18" s="40" t="s">
        <v>102</v>
      </c>
      <c r="B18" s="17">
        <f>Inputs!C26</f>
        <v>5</v>
      </c>
      <c r="C18" s="43"/>
      <c r="D18" s="23"/>
      <c r="E18" s="58" t="s">
        <v>103</v>
      </c>
      <c r="F18" s="59">
        <f>F17*$B$12</f>
        <v>183.93592</v>
      </c>
      <c r="G18" s="59">
        <f>G17*$B$13</f>
        <v>94.37470000000002</v>
      </c>
      <c r="H18" s="27"/>
      <c r="I18" s="59">
        <f>I17*$B$12</f>
        <v>0</v>
      </c>
      <c r="J18" s="59">
        <f>J17*$B$13</f>
        <v>0</v>
      </c>
      <c r="K18" s="27"/>
      <c r="L18" s="59">
        <f>L17*$B$13</f>
        <v>0</v>
      </c>
      <c r="M18" s="27"/>
      <c r="N18" s="59">
        <f>N17*$B$13</f>
        <v>0</v>
      </c>
      <c r="O18" s="27"/>
      <c r="P18" s="59">
        <f>P17*$B$13</f>
        <v>0</v>
      </c>
      <c r="Q18" s="27"/>
      <c r="R18" s="59">
        <f>R17*$B$13</f>
        <v>0</v>
      </c>
      <c r="S18" s="57"/>
      <c r="T18" s="23"/>
    </row>
    <row r="19" spans="1:20" ht="13.5" thickBot="1">
      <c r="A19" s="40"/>
      <c r="B19" s="23"/>
      <c r="C19" s="43"/>
      <c r="D19" s="23"/>
      <c r="E19" s="35" t="s">
        <v>104</v>
      </c>
      <c r="F19" s="60">
        <f>F18/12</f>
        <v>15.327993333333334</v>
      </c>
      <c r="G19" s="60">
        <f>G18/12</f>
        <v>7.864558333333335</v>
      </c>
      <c r="H19" s="36"/>
      <c r="I19" s="60">
        <f>I18/12</f>
        <v>0</v>
      </c>
      <c r="J19" s="60">
        <f>J18/12</f>
        <v>0</v>
      </c>
      <c r="K19" s="36"/>
      <c r="L19" s="60">
        <f>L18/12</f>
        <v>0</v>
      </c>
      <c r="M19" s="36"/>
      <c r="N19" s="60">
        <f>N18/12</f>
        <v>0</v>
      </c>
      <c r="O19" s="36"/>
      <c r="P19" s="60">
        <f>P18/12</f>
        <v>0</v>
      </c>
      <c r="Q19" s="36"/>
      <c r="R19" s="60">
        <f>R18/12</f>
        <v>0</v>
      </c>
      <c r="S19" s="61"/>
      <c r="T19" s="23"/>
    </row>
    <row r="20" spans="1:20" ht="12.75">
      <c r="A20" s="40"/>
      <c r="B20" s="23"/>
      <c r="C20" s="43"/>
      <c r="D20" s="23"/>
      <c r="E20" s="23"/>
      <c r="F20" s="23"/>
      <c r="G20" s="23"/>
      <c r="H20" s="23"/>
      <c r="I20" s="48"/>
      <c r="J20" s="23"/>
      <c r="K20" s="23"/>
      <c r="L20" s="23"/>
      <c r="M20" s="23"/>
      <c r="N20" s="23"/>
      <c r="O20" s="23"/>
      <c r="P20" s="23"/>
      <c r="Q20" s="23"/>
      <c r="R20" s="23"/>
      <c r="S20" s="43"/>
      <c r="T20" s="23"/>
    </row>
    <row r="21" spans="1:20" ht="12.75">
      <c r="A21" s="40" t="str">
        <f>"Gas Price After "&amp;TEXT(B18,0)&amp;" Years"</f>
        <v>Gas Price After 5 Years</v>
      </c>
      <c r="B21" s="44">
        <f>B12*(1+B16)^B18</f>
        <v>1.5924884373440005</v>
      </c>
      <c r="C21" s="43" t="s">
        <v>23</v>
      </c>
      <c r="D21" s="23"/>
      <c r="E21" s="23"/>
      <c r="F21" s="23"/>
      <c r="G21" s="23"/>
      <c r="H21" s="23"/>
      <c r="I21" s="48"/>
      <c r="J21" s="23"/>
      <c r="K21" s="23"/>
      <c r="L21" s="23"/>
      <c r="M21" s="23"/>
      <c r="N21" s="23"/>
      <c r="O21" s="23"/>
      <c r="P21" s="23"/>
      <c r="Q21" s="23"/>
      <c r="R21" s="23"/>
      <c r="S21" s="43"/>
      <c r="T21" s="23"/>
    </row>
    <row r="22" spans="1:20" ht="12.75">
      <c r="A22" s="40" t="str">
        <f>"Electricity Price After "&amp;TEXT(B18,0)&amp;" Years"</f>
        <v>Electricity Price After 5 Years</v>
      </c>
      <c r="B22" s="44">
        <f>B13*(1+B17)^B18</f>
        <v>0.08516570316800003</v>
      </c>
      <c r="C22" s="43" t="s">
        <v>25</v>
      </c>
      <c r="D22" s="23"/>
      <c r="E22" s="23"/>
      <c r="F22" s="23"/>
      <c r="G22" s="23"/>
      <c r="H22" s="23"/>
      <c r="I22" s="23"/>
      <c r="J22" s="23"/>
      <c r="K22" s="23"/>
      <c r="L22" s="23"/>
      <c r="M22" s="23"/>
      <c r="N22" s="23"/>
      <c r="O22" s="23"/>
      <c r="P22" s="23"/>
      <c r="Q22" s="23"/>
      <c r="R22" s="23"/>
      <c r="S22" s="43"/>
      <c r="T22" s="23"/>
    </row>
    <row r="23" spans="1:20" ht="12.75">
      <c r="A23" s="40" t="str">
        <f>"Average Gas Price Over "&amp;TEXT(B18,0)&amp;" Years"</f>
        <v>Average Gas Price Over 5 Years</v>
      </c>
      <c r="B23" s="44">
        <f>B12*((B21/B12-1)/5+1)^($B$18/2)</f>
        <v>1.4015682640996072</v>
      </c>
      <c r="C23" s="43" t="s">
        <v>23</v>
      </c>
      <c r="D23" s="23"/>
      <c r="E23" s="23"/>
      <c r="F23" s="23"/>
      <c r="G23" s="23"/>
      <c r="H23" s="23"/>
      <c r="I23" s="23"/>
      <c r="J23" s="23"/>
      <c r="K23" s="23"/>
      <c r="L23" s="23"/>
      <c r="M23" s="23"/>
      <c r="N23" s="23"/>
      <c r="O23" s="23"/>
      <c r="P23" s="23"/>
      <c r="Q23" s="23"/>
      <c r="R23" s="23"/>
      <c r="S23" s="43"/>
      <c r="T23" s="23"/>
    </row>
    <row r="24" spans="1:20" ht="25.5">
      <c r="A24" s="40" t="str">
        <f>"Average Electricity Price Over "&amp;TEXT(B18,0)&amp;" Years"</f>
        <v>Average Electricity Price Over 5 Years</v>
      </c>
      <c r="B24" s="44">
        <f>B13*((B22/B13-1)/5+1)^($B$18/2)</f>
        <v>0.07783104872625728</v>
      </c>
      <c r="C24" s="43"/>
      <c r="D24" s="23"/>
      <c r="E24" s="23"/>
      <c r="F24" s="23"/>
      <c r="G24" s="23"/>
      <c r="H24" s="23"/>
      <c r="I24" s="23"/>
      <c r="J24" s="23"/>
      <c r="K24" s="23"/>
      <c r="L24" s="23"/>
      <c r="M24" s="23"/>
      <c r="N24" s="23"/>
      <c r="O24" s="23"/>
      <c r="P24" s="23"/>
      <c r="Q24" s="23"/>
      <c r="R24" s="23"/>
      <c r="S24" s="43"/>
      <c r="T24" s="23"/>
    </row>
    <row r="25" spans="1:20" ht="13.5" thickBot="1">
      <c r="A25" s="40"/>
      <c r="B25" s="45"/>
      <c r="C25" s="43"/>
      <c r="D25" s="23"/>
      <c r="E25" s="23"/>
      <c r="F25" s="23"/>
      <c r="G25" s="23"/>
      <c r="H25" s="23"/>
      <c r="I25" s="23"/>
      <c r="J25" s="23"/>
      <c r="K25" s="23"/>
      <c r="L25" s="23"/>
      <c r="M25" s="23"/>
      <c r="N25" s="23"/>
      <c r="O25" s="23"/>
      <c r="P25" s="23"/>
      <c r="Q25" s="23"/>
      <c r="R25" s="23"/>
      <c r="S25" s="43"/>
      <c r="T25" s="23"/>
    </row>
    <row r="26" spans="1:20" ht="13.5" thickBot="1">
      <c r="A26" s="40"/>
      <c r="B26" s="19" t="s">
        <v>3</v>
      </c>
      <c r="C26" s="64" t="s">
        <v>4</v>
      </c>
      <c r="D26" s="23"/>
      <c r="E26" s="23"/>
      <c r="F26" s="23"/>
      <c r="G26" s="23"/>
      <c r="H26" s="23"/>
      <c r="I26" s="23"/>
      <c r="J26" s="23"/>
      <c r="K26" s="23"/>
      <c r="L26" s="23"/>
      <c r="M26" s="23"/>
      <c r="N26" s="23"/>
      <c r="O26" s="23"/>
      <c r="P26" s="23"/>
      <c r="Q26" s="23"/>
      <c r="R26" s="23"/>
      <c r="S26" s="43"/>
      <c r="T26" s="23"/>
    </row>
    <row r="27" spans="1:20" ht="12.75">
      <c r="A27" s="40" t="s">
        <v>105</v>
      </c>
      <c r="B27" s="59">
        <f>IF(B7=E52,12*B14+'Code Home'!U15*B12,0)</f>
        <v>1069.8388</v>
      </c>
      <c r="C27" s="65">
        <f>IF(B7=E52,12*Calculations!B14+'Energy Star Home'!U15*B12,0)</f>
        <v>885.90288</v>
      </c>
      <c r="D27" s="48"/>
      <c r="E27" s="23"/>
      <c r="F27" s="23"/>
      <c r="G27" s="23"/>
      <c r="H27" s="23"/>
      <c r="I27" s="23"/>
      <c r="J27" s="23"/>
      <c r="K27" s="23"/>
      <c r="L27" s="23"/>
      <c r="M27" s="23"/>
      <c r="N27" s="23"/>
      <c r="O27" s="23"/>
      <c r="P27" s="23"/>
      <c r="Q27" s="23"/>
      <c r="R27" s="23"/>
      <c r="S27" s="43"/>
      <c r="T27" s="23"/>
    </row>
    <row r="28" spans="1:20" ht="12.75">
      <c r="A28" s="40" t="s">
        <v>106</v>
      </c>
      <c r="B28" s="66">
        <f>IF(B7=E52,B14+'Code Home'!U15*B12/12,0)</f>
        <v>89.15323333333332</v>
      </c>
      <c r="C28" s="67">
        <f>IF(B7=E52,Calculations!B14+'Energy Star Home'!U15*B12/12,0)</f>
        <v>73.82524</v>
      </c>
      <c r="D28" s="23"/>
      <c r="E28" s="23"/>
      <c r="F28" s="23"/>
      <c r="G28" s="23"/>
      <c r="H28" s="23"/>
      <c r="I28" s="23"/>
      <c r="J28" s="23"/>
      <c r="K28" s="23"/>
      <c r="L28" s="23"/>
      <c r="M28" s="23"/>
      <c r="N28" s="23"/>
      <c r="O28" s="23"/>
      <c r="P28" s="23"/>
      <c r="Q28" s="23"/>
      <c r="R28" s="23"/>
      <c r="S28" s="43"/>
      <c r="T28" s="23"/>
    </row>
    <row r="29" spans="1:20" ht="12.75">
      <c r="A29" s="40" t="s">
        <v>107</v>
      </c>
      <c r="B29" s="59">
        <f>B15*12+'Code Home'!V15*B13</f>
        <v>809.6159200000001</v>
      </c>
      <c r="C29" s="65">
        <f>B15*12+'Energy Star Home'!V15*B13</f>
        <v>715.24122</v>
      </c>
      <c r="D29" s="48"/>
      <c r="E29" s="23"/>
      <c r="F29" s="23"/>
      <c r="G29" s="23"/>
      <c r="H29" s="23"/>
      <c r="I29" s="23"/>
      <c r="J29" s="23"/>
      <c r="K29" s="23"/>
      <c r="L29" s="23"/>
      <c r="M29" s="23"/>
      <c r="N29" s="23"/>
      <c r="O29" s="23"/>
      <c r="P29" s="23"/>
      <c r="Q29" s="23"/>
      <c r="R29" s="23"/>
      <c r="S29" s="43"/>
      <c r="T29" s="23"/>
    </row>
    <row r="30" spans="1:20" ht="12.75">
      <c r="A30" s="46" t="s">
        <v>108</v>
      </c>
      <c r="B30" s="59">
        <f>B15+'Code Home'!V15*B13/12</f>
        <v>67.46799333333334</v>
      </c>
      <c r="C30" s="65">
        <f>B15+'Energy Star Home'!V15*B13/12</f>
        <v>59.603435</v>
      </c>
      <c r="D30" s="23"/>
      <c r="E30" s="23"/>
      <c r="F30" s="23"/>
      <c r="G30" s="23"/>
      <c r="H30" s="23"/>
      <c r="I30" s="23"/>
      <c r="J30" s="23"/>
      <c r="K30" s="23"/>
      <c r="L30" s="23"/>
      <c r="M30" s="23"/>
      <c r="N30" s="23"/>
      <c r="O30" s="23"/>
      <c r="P30" s="23"/>
      <c r="Q30" s="23"/>
      <c r="R30" s="23"/>
      <c r="S30" s="43"/>
      <c r="T30" s="23"/>
    </row>
    <row r="31" spans="1:20" ht="12.75">
      <c r="A31" s="40"/>
      <c r="B31" s="27"/>
      <c r="C31" s="57"/>
      <c r="D31" s="23"/>
      <c r="E31" s="23"/>
      <c r="F31" s="23"/>
      <c r="G31" s="23"/>
      <c r="H31" s="23"/>
      <c r="I31" s="23"/>
      <c r="J31" s="23"/>
      <c r="K31" s="23"/>
      <c r="L31" s="23"/>
      <c r="M31" s="23"/>
      <c r="N31" s="23"/>
      <c r="O31" s="23"/>
      <c r="P31" s="23"/>
      <c r="Q31" s="23"/>
      <c r="R31" s="23"/>
      <c r="S31" s="43"/>
      <c r="T31" s="23"/>
    </row>
    <row r="32" spans="1:20" ht="12.75">
      <c r="A32" s="40" t="s">
        <v>234</v>
      </c>
      <c r="B32" s="243">
        <f>IF(B7=E52,B14+'Code Home'!U15,0)</f>
        <v>844.52</v>
      </c>
      <c r="C32" s="244">
        <f>IF(B7=E52,Calculations!B14+'Energy Star Home'!U15,0)</f>
        <v>689.952</v>
      </c>
      <c r="D32" s="23"/>
      <c r="E32" s="23"/>
      <c r="F32" s="23"/>
      <c r="G32" s="23"/>
      <c r="H32" s="23"/>
      <c r="I32" s="23"/>
      <c r="J32" s="23"/>
      <c r="K32" s="23"/>
      <c r="L32" s="23"/>
      <c r="M32" s="23"/>
      <c r="N32" s="23"/>
      <c r="O32" s="23"/>
      <c r="P32" s="23"/>
      <c r="Q32" s="23"/>
      <c r="R32" s="23"/>
      <c r="S32" s="43"/>
      <c r="T32" s="23"/>
    </row>
    <row r="33" spans="1:20" ht="12.75">
      <c r="A33" s="40" t="s">
        <v>235</v>
      </c>
      <c r="B33" s="243">
        <f>B15+'Code Home'!V15</f>
        <v>9861.656</v>
      </c>
      <c r="C33" s="244">
        <f>B15+'Energy Star Home'!V15</f>
        <v>8513.446</v>
      </c>
      <c r="D33" s="23"/>
      <c r="E33" s="23"/>
      <c r="F33" s="23"/>
      <c r="G33" s="23"/>
      <c r="H33" s="23"/>
      <c r="I33" s="23"/>
      <c r="J33" s="23"/>
      <c r="K33" s="23"/>
      <c r="L33" s="23"/>
      <c r="M33" s="23"/>
      <c r="N33" s="23"/>
      <c r="O33" s="23"/>
      <c r="P33" s="23"/>
      <c r="Q33" s="23"/>
      <c r="R33" s="23"/>
      <c r="S33" s="43"/>
      <c r="T33" s="23"/>
    </row>
    <row r="34" spans="1:20" ht="12.75">
      <c r="A34" s="40"/>
      <c r="B34" s="27"/>
      <c r="C34" s="57"/>
      <c r="D34" s="23"/>
      <c r="E34" s="23"/>
      <c r="F34" s="23"/>
      <c r="G34" s="23"/>
      <c r="H34" s="23"/>
      <c r="I34" s="23"/>
      <c r="J34" s="23"/>
      <c r="K34" s="23"/>
      <c r="L34" s="23"/>
      <c r="M34" s="23"/>
      <c r="N34" s="23"/>
      <c r="O34" s="23"/>
      <c r="P34" s="23"/>
      <c r="Q34" s="23"/>
      <c r="R34" s="23"/>
      <c r="S34" s="43"/>
      <c r="T34" s="23"/>
    </row>
    <row r="35" spans="1:20" ht="12.75">
      <c r="A35" s="40" t="str">
        <f>"Annual Gas Bill After "&amp;TEXT(B18,0)&amp;" Years"</f>
        <v>Annual Gas Bill After 5 Years</v>
      </c>
      <c r="B35" s="126">
        <f>IF(B7=E52,B14*12+'Code Home'!U15*B12*(1+$B$16)^B18,0)</f>
        <v>1407.333404481691</v>
      </c>
      <c r="C35" s="67">
        <f>IF(B7=E52,B14*12+'Energy Star Home'!U15*B12*(1+$B$16)^B18,0)</f>
        <v>1161.185651698304</v>
      </c>
      <c r="D35" s="48"/>
      <c r="E35" s="23"/>
      <c r="F35" s="23"/>
      <c r="G35" s="23"/>
      <c r="H35" s="23"/>
      <c r="I35" s="23"/>
      <c r="J35" s="62"/>
      <c r="K35" s="23"/>
      <c r="L35" s="23"/>
      <c r="M35" s="23"/>
      <c r="N35" s="23"/>
      <c r="O35" s="23"/>
      <c r="P35" s="23"/>
      <c r="Q35" s="23"/>
      <c r="R35" s="23"/>
      <c r="S35" s="43"/>
      <c r="T35" s="23"/>
    </row>
    <row r="36" spans="1:20" ht="12.75">
      <c r="A36" s="40" t="str">
        <f>"Annual Electric Bill After "&amp;TEXT(B18,0)&amp;" Years"</f>
        <v>Annual Electric Bill After 5 Years</v>
      </c>
      <c r="B36" s="66">
        <f>B15*12+'Code Home'!V15*B13*(1+$B$17)^B18</f>
        <v>959.0232106092466</v>
      </c>
      <c r="C36" s="67">
        <f>B15*12+'Energy Star Home'!V15*B13*(1+$B$17)^B18</f>
        <v>844.2019579411171</v>
      </c>
      <c r="D36" s="23"/>
      <c r="E36" s="23"/>
      <c r="F36" s="23"/>
      <c r="G36" s="23"/>
      <c r="H36" s="23"/>
      <c r="I36" s="23"/>
      <c r="J36" s="23"/>
      <c r="K36" s="23"/>
      <c r="L36" s="23"/>
      <c r="M36" s="23"/>
      <c r="N36" s="23"/>
      <c r="O36" s="23"/>
      <c r="P36" s="23"/>
      <c r="Q36" s="23"/>
      <c r="R36" s="23"/>
      <c r="S36" s="43"/>
      <c r="T36" s="23"/>
    </row>
    <row r="37" spans="1:20" ht="12.75">
      <c r="A37" s="40"/>
      <c r="B37" s="66"/>
      <c r="C37" s="67"/>
      <c r="D37" s="23"/>
      <c r="E37" s="23"/>
      <c r="F37" s="23"/>
      <c r="G37" s="23"/>
      <c r="H37" s="23"/>
      <c r="I37" s="23"/>
      <c r="J37" s="23"/>
      <c r="K37" s="23"/>
      <c r="L37" s="23"/>
      <c r="M37" s="23"/>
      <c r="N37" s="23"/>
      <c r="O37" s="23"/>
      <c r="P37" s="23"/>
      <c r="Q37" s="23"/>
      <c r="R37" s="23"/>
      <c r="S37" s="43"/>
      <c r="T37" s="23"/>
    </row>
    <row r="38" spans="1:20" ht="25.5">
      <c r="A38" s="40" t="str">
        <f>"Average Monthly Gas Bill Over Next "&amp;TEXT(B18,0)&amp;" Years"</f>
        <v>Average Monthly Gas Bill Over Next 5 Years</v>
      </c>
      <c r="B38" s="66">
        <f>IF(B7=E52,(B14*12+'Code Home'!U15*B23)/12,0)</f>
        <v>103.93691840106688</v>
      </c>
      <c r="C38" s="67">
        <f>IF(B7=E52,(B14*12+'Energy Star Home'!U15*B23)/12,0)</f>
        <v>85.88378478062123</v>
      </c>
      <c r="D38" s="23"/>
      <c r="E38" s="23"/>
      <c r="F38" s="23"/>
      <c r="G38" s="23"/>
      <c r="H38" s="23"/>
      <c r="I38" s="23"/>
      <c r="J38" s="23"/>
      <c r="K38" s="23"/>
      <c r="L38" s="23"/>
      <c r="M38" s="23"/>
      <c r="N38" s="23"/>
      <c r="O38" s="23"/>
      <c r="P38" s="23"/>
      <c r="Q38" s="23"/>
      <c r="R38" s="23"/>
      <c r="S38" s="43"/>
      <c r="T38" s="23"/>
    </row>
    <row r="39" spans="1:20" ht="25.5">
      <c r="A39" s="40" t="str">
        <f>"Average Monthly Electric Bill Over Next "&amp;TEXT(B18,0)&amp;" Years"</f>
        <v>Average Monthly Electric Bill Over Next 5 Years</v>
      </c>
      <c r="B39" s="66">
        <f>(B15*12+'Code Home'!V15*B24)/12</f>
        <v>73.89705984752707</v>
      </c>
      <c r="C39" s="67">
        <f>(B15*12+'Energy Star Home'!V15*B24)/12</f>
        <v>65.1526766639248</v>
      </c>
      <c r="D39" s="23"/>
      <c r="E39" s="23"/>
      <c r="F39" s="23"/>
      <c r="G39" s="23"/>
      <c r="H39" s="23"/>
      <c r="I39" s="23"/>
      <c r="J39" s="23"/>
      <c r="K39" s="23"/>
      <c r="L39" s="23"/>
      <c r="M39" s="23"/>
      <c r="N39" s="23"/>
      <c r="O39" s="23"/>
      <c r="P39" s="23"/>
      <c r="Q39" s="23"/>
      <c r="R39" s="23"/>
      <c r="S39" s="43"/>
      <c r="T39" s="23"/>
    </row>
    <row r="40" spans="1:20" ht="12.75">
      <c r="A40" s="40"/>
      <c r="B40" s="66"/>
      <c r="C40" s="67"/>
      <c r="D40" s="23"/>
      <c r="E40" s="23"/>
      <c r="F40" s="23"/>
      <c r="G40" s="23"/>
      <c r="H40" s="23"/>
      <c r="I40" s="23"/>
      <c r="J40" s="23"/>
      <c r="K40" s="23"/>
      <c r="L40" s="23"/>
      <c r="M40" s="23"/>
      <c r="N40" s="23"/>
      <c r="O40" s="23"/>
      <c r="P40" s="23"/>
      <c r="Q40" s="23"/>
      <c r="R40" s="23"/>
      <c r="S40" s="43"/>
      <c r="T40" s="23"/>
    </row>
    <row r="41" spans="1:20" ht="12.75">
      <c r="A41" s="40"/>
      <c r="B41" s="27"/>
      <c r="C41" s="57"/>
      <c r="D41" s="23"/>
      <c r="E41" s="23"/>
      <c r="F41" s="23"/>
      <c r="G41" s="23"/>
      <c r="H41" s="23"/>
      <c r="I41" s="23"/>
      <c r="J41" s="23"/>
      <c r="K41" s="23"/>
      <c r="L41" s="23"/>
      <c r="M41" s="23"/>
      <c r="N41" s="23"/>
      <c r="O41" s="23"/>
      <c r="P41" s="23"/>
      <c r="Q41" s="23"/>
      <c r="R41" s="23"/>
      <c r="S41" s="43"/>
      <c r="T41" s="23"/>
    </row>
    <row r="42" spans="1:20" ht="12.75">
      <c r="A42" s="40" t="s">
        <v>12</v>
      </c>
      <c r="B42" s="59">
        <f>B55</f>
        <v>12.64136046985932</v>
      </c>
      <c r="C42" s="57"/>
      <c r="D42" s="23"/>
      <c r="E42" s="23"/>
      <c r="F42" s="23"/>
      <c r="G42" s="23"/>
      <c r="H42" s="23"/>
      <c r="I42" s="23"/>
      <c r="J42" s="23"/>
      <c r="K42" s="23"/>
      <c r="L42" s="23"/>
      <c r="M42" s="23"/>
      <c r="N42" s="23"/>
      <c r="O42" s="23"/>
      <c r="P42" s="23"/>
      <c r="Q42" s="23"/>
      <c r="R42" s="23"/>
      <c r="S42" s="43"/>
      <c r="T42" s="23"/>
    </row>
    <row r="43" spans="1:20" ht="12.75">
      <c r="A43" s="40" t="s">
        <v>14</v>
      </c>
      <c r="B43" s="59">
        <f>IF(B7=E51,P19+R19,SUM(F19:N19))</f>
        <v>23.192551666666667</v>
      </c>
      <c r="C43" s="57"/>
      <c r="D43" s="23"/>
      <c r="E43" s="23"/>
      <c r="F43" s="23"/>
      <c r="G43" s="23"/>
      <c r="H43" s="23"/>
      <c r="I43" s="23"/>
      <c r="J43" s="23"/>
      <c r="K43" s="23"/>
      <c r="L43" s="23"/>
      <c r="M43" s="23"/>
      <c r="N43" s="23"/>
      <c r="O43" s="23"/>
      <c r="P43" s="23"/>
      <c r="Q43" s="23"/>
      <c r="R43" s="23"/>
      <c r="S43" s="43"/>
      <c r="T43" s="23"/>
    </row>
    <row r="44" spans="1:20" ht="26.25" thickBot="1">
      <c r="A44" s="47" t="str">
        <f>"Average Monthly Energy Savings Over Next "&amp;TEXT(B18,0)&amp;" Years"</f>
        <v>Average Monthly Energy Savings Over Next 5 Years</v>
      </c>
      <c r="B44" s="60">
        <f>((B38-C38)+(B39-C39))</f>
        <v>26.79751680404793</v>
      </c>
      <c r="C44" s="68"/>
      <c r="D44" s="23"/>
      <c r="E44" s="23"/>
      <c r="F44" s="23"/>
      <c r="G44" s="23"/>
      <c r="H44" s="23"/>
      <c r="I44" s="23"/>
      <c r="J44" s="23"/>
      <c r="K44" s="23"/>
      <c r="L44" s="23"/>
      <c r="M44" s="23"/>
      <c r="N44" s="23"/>
      <c r="O44" s="23"/>
      <c r="P44" s="23"/>
      <c r="Q44" s="23"/>
      <c r="R44" s="23"/>
      <c r="S44" s="43"/>
      <c r="T44" s="23"/>
    </row>
    <row r="45" spans="1:20" ht="12.75">
      <c r="A45" s="40"/>
      <c r="B45" s="48"/>
      <c r="C45" s="23"/>
      <c r="D45" s="23"/>
      <c r="E45" s="23"/>
      <c r="F45" s="23"/>
      <c r="G45" s="23"/>
      <c r="H45" s="23"/>
      <c r="I45" s="23"/>
      <c r="J45" s="23"/>
      <c r="K45" s="23"/>
      <c r="L45" s="23"/>
      <c r="M45" s="23"/>
      <c r="N45" s="23"/>
      <c r="O45" s="23"/>
      <c r="P45" s="23"/>
      <c r="Q45" s="23"/>
      <c r="R45" s="23"/>
      <c r="S45" s="43"/>
      <c r="T45" s="23"/>
    </row>
    <row r="46" spans="1:20" ht="12.75">
      <c r="A46" s="40"/>
      <c r="B46" s="48"/>
      <c r="C46" s="23"/>
      <c r="D46" s="23"/>
      <c r="E46" s="23"/>
      <c r="F46" s="23"/>
      <c r="G46" s="23"/>
      <c r="H46" s="23"/>
      <c r="I46" s="23"/>
      <c r="J46" s="23"/>
      <c r="K46" s="23"/>
      <c r="L46" s="23"/>
      <c r="M46" s="23"/>
      <c r="N46" s="23"/>
      <c r="O46" s="23"/>
      <c r="P46" s="23"/>
      <c r="Q46" s="23"/>
      <c r="R46" s="23"/>
      <c r="S46" s="43"/>
      <c r="T46" s="23"/>
    </row>
    <row r="47" spans="1:20" ht="12.75">
      <c r="A47" s="40"/>
      <c r="B47" s="48"/>
      <c r="C47" s="23"/>
      <c r="D47" s="23"/>
      <c r="E47" s="23"/>
      <c r="F47" s="23"/>
      <c r="G47" s="23"/>
      <c r="H47" s="23"/>
      <c r="I47" s="23"/>
      <c r="J47" s="23"/>
      <c r="K47" s="23"/>
      <c r="L47" s="23"/>
      <c r="M47" s="23"/>
      <c r="N47" s="23"/>
      <c r="O47" s="23"/>
      <c r="P47" s="23"/>
      <c r="Q47" s="23"/>
      <c r="R47" s="23"/>
      <c r="S47" s="43"/>
      <c r="T47" s="23"/>
    </row>
    <row r="48" spans="1:20" ht="12.75">
      <c r="A48" s="40"/>
      <c r="B48" s="23"/>
      <c r="C48" s="23"/>
      <c r="D48" s="23"/>
      <c r="E48" s="23" t="s">
        <v>11</v>
      </c>
      <c r="F48" s="23"/>
      <c r="G48" s="23"/>
      <c r="H48" s="23"/>
      <c r="I48" s="23"/>
      <c r="J48" s="23"/>
      <c r="K48" s="23"/>
      <c r="L48" s="23"/>
      <c r="M48" s="23"/>
      <c r="N48" s="23"/>
      <c r="O48" s="23"/>
      <c r="P48" s="23"/>
      <c r="Q48" s="23"/>
      <c r="R48" s="23"/>
      <c r="S48" s="43"/>
      <c r="T48" s="23"/>
    </row>
    <row r="49" spans="1:20" ht="12.75">
      <c r="A49" s="40" t="s">
        <v>109</v>
      </c>
      <c r="B49" s="23">
        <f>12*B11</f>
        <v>360</v>
      </c>
      <c r="C49" s="23"/>
      <c r="D49" s="23"/>
      <c r="E49" s="23" t="s">
        <v>32</v>
      </c>
      <c r="F49" s="23"/>
      <c r="G49" s="23"/>
      <c r="H49" s="23"/>
      <c r="I49" s="23"/>
      <c r="J49" s="23"/>
      <c r="K49" s="23"/>
      <c r="L49" s="23"/>
      <c r="M49" s="23"/>
      <c r="N49" s="23"/>
      <c r="O49" s="23"/>
      <c r="P49" s="23"/>
      <c r="Q49" s="23"/>
      <c r="R49" s="23"/>
      <c r="S49" s="43"/>
      <c r="T49" s="23"/>
    </row>
    <row r="50" spans="1:20" ht="12.75">
      <c r="A50" s="40" t="s">
        <v>110</v>
      </c>
      <c r="B50" s="23">
        <f>1+B10/12</f>
        <v>1.0054166666666666</v>
      </c>
      <c r="C50" s="23"/>
      <c r="D50" s="23"/>
      <c r="E50" s="23"/>
      <c r="F50" s="23"/>
      <c r="G50" s="23"/>
      <c r="H50" s="23"/>
      <c r="I50" s="23"/>
      <c r="J50" s="23"/>
      <c r="K50" s="23"/>
      <c r="L50" s="23"/>
      <c r="M50" s="23"/>
      <c r="N50" s="23"/>
      <c r="O50" s="23"/>
      <c r="P50" s="23"/>
      <c r="Q50" s="23"/>
      <c r="R50" s="23"/>
      <c r="S50" s="43"/>
      <c r="T50" s="23"/>
    </row>
    <row r="51" spans="1:20" ht="12.75">
      <c r="A51" s="40" t="s">
        <v>111</v>
      </c>
      <c r="B51" s="23">
        <f>B10/12</f>
        <v>0.005416666666666667</v>
      </c>
      <c r="C51" s="23"/>
      <c r="D51" s="23"/>
      <c r="E51" s="23" t="s">
        <v>33</v>
      </c>
      <c r="F51" s="23"/>
      <c r="G51" s="23"/>
      <c r="H51" s="23"/>
      <c r="I51" s="23"/>
      <c r="J51" s="23"/>
      <c r="K51" s="23"/>
      <c r="L51" s="23"/>
      <c r="M51" s="23"/>
      <c r="N51" s="23"/>
      <c r="O51" s="23"/>
      <c r="P51" s="23"/>
      <c r="Q51" s="23"/>
      <c r="R51" s="23"/>
      <c r="S51" s="43"/>
      <c r="T51" s="23"/>
    </row>
    <row r="52" spans="1:20" ht="12.75">
      <c r="A52" s="40" t="s">
        <v>112</v>
      </c>
      <c r="B52" s="23">
        <f>((B50^B49)-1)</f>
        <v>5.991797973867206</v>
      </c>
      <c r="C52" s="23"/>
      <c r="D52" s="23"/>
      <c r="E52" s="23" t="s">
        <v>9</v>
      </c>
      <c r="F52" s="23"/>
      <c r="G52" s="23"/>
      <c r="H52" s="23"/>
      <c r="I52" s="23"/>
      <c r="J52" s="23"/>
      <c r="K52" s="23"/>
      <c r="L52" s="23"/>
      <c r="M52" s="23"/>
      <c r="N52" s="23"/>
      <c r="O52" s="23"/>
      <c r="P52" s="23"/>
      <c r="Q52" s="23"/>
      <c r="R52" s="23"/>
      <c r="S52" s="43"/>
      <c r="T52" s="23"/>
    </row>
    <row r="53" spans="1:20" ht="12.75">
      <c r="A53" s="40" t="s">
        <v>113</v>
      </c>
      <c r="B53" s="23">
        <f>B51*B50^B49</f>
        <v>0.03787223902511403</v>
      </c>
      <c r="C53" s="23"/>
      <c r="D53" s="23"/>
      <c r="E53" s="23"/>
      <c r="F53" s="23"/>
      <c r="G53" s="23"/>
      <c r="H53" s="23"/>
      <c r="I53" s="23"/>
      <c r="J53" s="23"/>
      <c r="K53" s="23"/>
      <c r="L53" s="23"/>
      <c r="M53" s="23"/>
      <c r="N53" s="23"/>
      <c r="O53" s="23"/>
      <c r="P53" s="23"/>
      <c r="Q53" s="23"/>
      <c r="R53" s="23"/>
      <c r="S53" s="43"/>
      <c r="T53" s="23"/>
    </row>
    <row r="54" spans="1:20" ht="12.75">
      <c r="A54" s="40" t="s">
        <v>114</v>
      </c>
      <c r="B54" s="23">
        <f>B52/B53</f>
        <v>158.2108195370729</v>
      </c>
      <c r="C54" s="23"/>
      <c r="D54" s="23"/>
      <c r="E54" s="23"/>
      <c r="F54" s="23"/>
      <c r="G54" s="23"/>
      <c r="H54" s="23"/>
      <c r="I54" s="23"/>
      <c r="J54" s="23"/>
      <c r="K54" s="23"/>
      <c r="L54" s="23"/>
      <c r="M54" s="23"/>
      <c r="N54" s="23"/>
      <c r="O54" s="23"/>
      <c r="P54" s="23"/>
      <c r="Q54" s="23"/>
      <c r="R54" s="23"/>
      <c r="S54" s="43"/>
      <c r="T54" s="23"/>
    </row>
    <row r="55" spans="1:20" ht="13.5" thickBot="1">
      <c r="A55" s="47" t="s">
        <v>115</v>
      </c>
      <c r="B55" s="49">
        <f>B9/B54</f>
        <v>12.64136046985932</v>
      </c>
      <c r="C55" s="31"/>
      <c r="D55" s="31"/>
      <c r="E55" s="31"/>
      <c r="F55" s="31"/>
      <c r="G55" s="31"/>
      <c r="H55" s="31"/>
      <c r="I55" s="31"/>
      <c r="J55" s="31"/>
      <c r="K55" s="31"/>
      <c r="L55" s="31"/>
      <c r="M55" s="31"/>
      <c r="N55" s="31"/>
      <c r="O55" s="31"/>
      <c r="P55" s="31"/>
      <c r="Q55" s="31"/>
      <c r="R55" s="31"/>
      <c r="S55" s="63"/>
      <c r="T55" s="23"/>
    </row>
  </sheetData>
  <mergeCells count="1">
    <mergeCell ref="A1:S1"/>
  </mergeCells>
  <printOptions/>
  <pageMargins left="0.75" right="0.75" top="1" bottom="1" header="0.5" footer="0.5"/>
  <pageSetup horizontalDpi="600" verticalDpi="600" orientation="landscape" scale="54" r:id="rId1"/>
</worksheet>
</file>

<file path=xl/worksheets/sheet7.xml><?xml version="1.0" encoding="utf-8"?>
<worksheet xmlns="http://schemas.openxmlformats.org/spreadsheetml/2006/main" xmlns:r="http://schemas.openxmlformats.org/officeDocument/2006/relationships">
  <sheetPr codeName="Sheet4"/>
  <dimension ref="A1:W76"/>
  <sheetViews>
    <sheetView workbookViewId="0" topLeftCell="A1">
      <selection activeCell="U15" sqref="U15"/>
    </sheetView>
  </sheetViews>
  <sheetFormatPr defaultColWidth="9.140625" defaultRowHeight="12.75"/>
  <cols>
    <col min="1" max="1" width="11.8515625" style="5" customWidth="1"/>
    <col min="2" max="2" width="10.57421875" style="5" customWidth="1"/>
    <col min="3" max="3" width="12.57421875" style="5" customWidth="1"/>
    <col min="4" max="4" width="10.8515625" style="5" customWidth="1"/>
    <col min="5" max="5" width="9.7109375" style="5" customWidth="1"/>
    <col min="6" max="7" width="13.28125" style="5" customWidth="1"/>
    <col min="8" max="8" width="11.00390625" style="5" customWidth="1"/>
    <col min="9" max="9" width="8.8515625" style="5" customWidth="1"/>
    <col min="10" max="10" width="11.7109375" style="5" customWidth="1"/>
    <col min="11" max="11" width="9.421875" style="5" customWidth="1"/>
    <col min="12" max="12" width="8.8515625" style="5" customWidth="1"/>
    <col min="13" max="13" width="7.7109375" style="5" customWidth="1"/>
    <col min="14" max="14" width="9.00390625" style="5" customWidth="1"/>
    <col min="15" max="15" width="7.7109375" style="5" customWidth="1"/>
    <col min="16" max="16" width="8.28125" style="5" customWidth="1"/>
    <col min="17" max="17" width="7.28125" style="5" customWidth="1"/>
    <col min="18" max="18" width="8.421875" style="5" customWidth="1"/>
    <col min="19" max="19" width="8.8515625" style="5" customWidth="1"/>
    <col min="20" max="20" width="8.7109375" style="5" customWidth="1"/>
    <col min="21" max="21" width="7.00390625" style="5" customWidth="1"/>
    <col min="22" max="22" width="9.00390625" style="5" customWidth="1"/>
    <col min="23" max="16384" width="8.8515625" style="5" customWidth="1"/>
  </cols>
  <sheetData>
    <row r="1" spans="1:23" ht="39.75" customHeight="1" thickBot="1">
      <c r="A1" s="302" t="s">
        <v>140</v>
      </c>
      <c r="B1" s="303"/>
      <c r="C1" s="303"/>
      <c r="D1" s="303"/>
      <c r="E1" s="303"/>
      <c r="F1" s="303"/>
      <c r="G1" s="303"/>
      <c r="H1" s="303"/>
      <c r="I1" s="303"/>
      <c r="J1" s="303"/>
      <c r="K1" s="303"/>
      <c r="L1" s="303"/>
      <c r="M1" s="303"/>
      <c r="N1" s="303"/>
      <c r="O1" s="303"/>
      <c r="P1" s="303"/>
      <c r="Q1" s="303"/>
      <c r="R1" s="303"/>
      <c r="S1" s="303"/>
      <c r="T1" s="303"/>
      <c r="U1" s="303"/>
      <c r="V1" s="303"/>
      <c r="W1" s="304"/>
    </row>
    <row r="2" spans="1:23" ht="13.5" thickBot="1">
      <c r="A2" s="23"/>
      <c r="B2" s="23"/>
      <c r="C2" s="23"/>
      <c r="D2" s="23"/>
      <c r="E2" s="23"/>
      <c r="F2" s="23"/>
      <c r="G2" s="23"/>
      <c r="H2" s="23"/>
      <c r="I2" s="23"/>
      <c r="J2" s="23"/>
      <c r="K2" s="23"/>
      <c r="L2" s="23"/>
      <c r="M2" s="23"/>
      <c r="N2" s="23"/>
      <c r="O2" s="23"/>
      <c r="P2" s="23"/>
      <c r="Q2" s="23"/>
      <c r="R2" s="23"/>
      <c r="S2" s="23"/>
      <c r="T2" s="23"/>
      <c r="U2" s="23"/>
      <c r="V2" s="23"/>
      <c r="W2" s="23"/>
    </row>
    <row r="3" spans="1:23" ht="51.75" thickBot="1">
      <c r="A3" s="69" t="s">
        <v>85</v>
      </c>
      <c r="B3" s="21" t="s">
        <v>89</v>
      </c>
      <c r="C3" s="21" t="s">
        <v>116</v>
      </c>
      <c r="D3" s="21" t="s">
        <v>117</v>
      </c>
      <c r="E3" s="21" t="s">
        <v>118</v>
      </c>
      <c r="F3" s="21" t="s">
        <v>119</v>
      </c>
      <c r="G3" s="21" t="s">
        <v>120</v>
      </c>
      <c r="H3" s="21" t="s">
        <v>121</v>
      </c>
      <c r="I3" s="21"/>
      <c r="J3" s="21" t="s">
        <v>122</v>
      </c>
      <c r="K3" s="21" t="s">
        <v>123</v>
      </c>
      <c r="L3" s="70"/>
      <c r="M3" s="21" t="s">
        <v>124</v>
      </c>
      <c r="N3" s="21" t="s">
        <v>125</v>
      </c>
      <c r="O3" s="21" t="s">
        <v>126</v>
      </c>
      <c r="P3" s="21" t="s">
        <v>127</v>
      </c>
      <c r="Q3" s="21" t="s">
        <v>128</v>
      </c>
      <c r="R3" s="21" t="s">
        <v>129</v>
      </c>
      <c r="S3" s="21" t="s">
        <v>130</v>
      </c>
      <c r="T3" s="21" t="s">
        <v>131</v>
      </c>
      <c r="U3" s="21" t="s">
        <v>132</v>
      </c>
      <c r="V3" s="21" t="s">
        <v>88</v>
      </c>
      <c r="W3" s="71"/>
    </row>
    <row r="4" spans="1:23" ht="12.75">
      <c r="A4" s="27">
        <v>1219</v>
      </c>
      <c r="B4" s="27" t="s">
        <v>6</v>
      </c>
      <c r="C4" s="27">
        <v>307</v>
      </c>
      <c r="D4" s="27">
        <v>549</v>
      </c>
      <c r="E4" s="27">
        <v>862</v>
      </c>
      <c r="F4" s="27">
        <v>207</v>
      </c>
      <c r="G4" s="27">
        <v>44</v>
      </c>
      <c r="H4" s="27">
        <v>4072</v>
      </c>
      <c r="I4" s="27"/>
      <c r="J4" s="27">
        <f aca="true" t="shared" si="0" ref="J4:J14">C4+F4</f>
        <v>514</v>
      </c>
      <c r="K4" s="27">
        <f aca="true" t="shared" si="1" ref="K4:K14">D4+E4+G4+H4</f>
        <v>5527</v>
      </c>
      <c r="L4" s="23"/>
      <c r="M4" s="27">
        <f>IF(AND(Calculations!$B$5&lt;='Code Home'!$A$16,Calculations!$B$7=Calculations!$E$52,Calculations!$B$6='Code Home'!$B4),$J16+(Calculations!$B$5-$A16)*(($J16-$J4)/($A16-$A4)),0)</f>
        <v>838.52</v>
      </c>
      <c r="N4" s="27">
        <f>IF(AND(Calculations!$B$5&lt;='Code Home'!$A$16,Calculations!$B$7=Calculations!$E$52,Calculations!$B$6='Code Home'!$B4,Calculations!$B$8=Calculations!$E$48),$K16+(Calculations!$B$5-$A16)*(($K16-$K4)/($A16-$A4)),0)</f>
        <v>9851.656</v>
      </c>
      <c r="O4" s="27">
        <f>IF(AND(Calculations!$B$5&lt;='Code Home'!$A$16,Calculations!$B$7=Calculations!$E$52,Calculations!$B$6='Code Home'!$B4,Calculations!$B$8=Calculations!$E$49),($K16+(Calculations!$B$5-$A16)*(($K16-$K4)/($A16-$A4)))-E4,0)</f>
        <v>0</v>
      </c>
      <c r="P4" s="27">
        <f>IF(AND(Calculations!$B$5&gt;'Code Home'!$A$16,Calculations!$B$7=Calculations!$E$52,Calculations!$B$6='Code Home'!$B4),$J28+(Calculations!$B$5-$A28)*(($J28-$J28)/($A28-$A16)),0)</f>
        <v>0</v>
      </c>
      <c r="Q4" s="27">
        <f>IF(AND(Calculations!$B$5&gt;'Code Home'!$A$16,Calculations!$B$7=Calculations!$E$52,Calculations!$B$6='Code Home'!$B4,Calculations!$B$8=Calculations!$E$48),$K28+(Calculations!$B$5-$A28)*(($K28-$K16)/($A28-$A16)),0)</f>
        <v>0</v>
      </c>
      <c r="R4" s="27">
        <f>IF(AND(Calculations!$B$5&gt;'Code Home'!$A$16,Calculations!$B$7=Calculations!$E$52,Calculations!$B$6='Code Home'!$B4,Calculations!$B$8=Calculations!$E$49),$K28+(Calculations!$B$5-$A28)*(($K28-$K16)/($A28-$A16))-E16,0)</f>
        <v>0</v>
      </c>
      <c r="S4" s="27">
        <f>IF(AND(Calculations!$B$5&lt;='Code Home'!$A$16,Calculations!$B$7=Calculations!$E$51,Calculations!$B$6='Code Home'!$B4),$K53+(Calculations!$B$5-$A53)*(($K53-$K41)/($A53-$A41)),0)</f>
        <v>0</v>
      </c>
      <c r="T4" s="27">
        <f>IF(AND(Calculations!$B$5&gt;'Code Home'!$A$16,Calculations!$B$7=Calculations!$E$51,Calculations!$B$6='Code Home'!$B4),$K65+(Calculations!$B$5-$A65)*(($K65-$K53)/($A65-$A53)),0)</f>
        <v>0</v>
      </c>
      <c r="U4" s="27">
        <f aca="true" t="shared" si="2" ref="U4:U14">M4+P4</f>
        <v>838.52</v>
      </c>
      <c r="V4" s="27">
        <f aca="true" t="shared" si="3" ref="V4:V14">N4+O4+Q4+R4+S4+T4</f>
        <v>9851.656</v>
      </c>
      <c r="W4" s="27"/>
    </row>
    <row r="5" spans="1:23" ht="12.75">
      <c r="A5" s="27">
        <v>1219</v>
      </c>
      <c r="B5" s="27" t="s">
        <v>62</v>
      </c>
      <c r="C5" s="27">
        <v>322</v>
      </c>
      <c r="D5" s="27">
        <v>540</v>
      </c>
      <c r="E5" s="27">
        <v>1140</v>
      </c>
      <c r="F5" s="27">
        <v>207</v>
      </c>
      <c r="G5" s="27">
        <v>44</v>
      </c>
      <c r="H5" s="27">
        <v>4072</v>
      </c>
      <c r="I5" s="27"/>
      <c r="J5" s="27">
        <f t="shared" si="0"/>
        <v>529</v>
      </c>
      <c r="K5" s="27">
        <f t="shared" si="1"/>
        <v>5796</v>
      </c>
      <c r="L5" s="23"/>
      <c r="M5" s="27">
        <f>IF(AND(Calculations!$B$5&lt;='Code Home'!$A$16,Calculations!$B$7=Calculations!$E$52,Calculations!$B$6='Code Home'!$B5),$J17+(Calculations!$B$5-$A17)*(($J17-$J5)/($A17-$A5)),0)</f>
        <v>0</v>
      </c>
      <c r="N5" s="27">
        <f>IF(AND(Calculations!$B$5&lt;='Code Home'!$A$16,Calculations!$B$7=Calculations!$E$52,Calculations!$B$6='Code Home'!$B5,Calculations!$B$8=Calculations!$E$48),$K17+(Calculations!$B$5-$A17)*(($K17-$K5)/($A17-$A5)),0)</f>
        <v>0</v>
      </c>
      <c r="O5" s="27">
        <f>IF(AND(Calculations!$B$5&lt;='Code Home'!$A$16,Calculations!$B$7=Calculations!$E$52,Calculations!$B$6='Code Home'!$B5,Calculations!$B$8=Calculations!$E$49),($K17+(Calculations!$B$5-$A17)*(($K17-$K5)/($A17-$A5)))-E5,0)</f>
        <v>0</v>
      </c>
      <c r="P5" s="27">
        <f>IF(AND(Calculations!$B$5&gt;'Code Home'!$A$16,Calculations!$B$7=Calculations!$E$52,Calculations!$B$6='Code Home'!$B5),$J29+(Calculations!$B$5-$A29)*(($J29-$J29)/($A29-$A17)),0)</f>
        <v>0</v>
      </c>
      <c r="Q5" s="27">
        <f>IF(AND(Calculations!$B$5&gt;'Code Home'!$A$16,Calculations!$B$7=Calculations!$E$52,Calculations!$B$6='Code Home'!$B5,Calculations!$B$8=Calculations!$E$48),$K29+(Calculations!$B$5-$A29)*(($K29-$K17)/($A29-$A17)),0)</f>
        <v>0</v>
      </c>
      <c r="R5" s="27">
        <f>IF(AND(Calculations!$B$5&gt;'Code Home'!$A$16,Calculations!$B$7=Calculations!$E$52,Calculations!$B$6='Code Home'!$B5,Calculations!$B$8=Calculations!$E$49),$K29+(Calculations!$B$5-$A29)*(($K29-$K17)/($A29-$A17))-E17,0)</f>
        <v>0</v>
      </c>
      <c r="S5" s="27">
        <f>IF(AND(Calculations!$B$5&lt;='Code Home'!$A$16,Calculations!$B$7=Calculations!$E$51,Calculations!$B$6='Code Home'!$B5),$K54+(Calculations!$B$5-$A54)*(($K54-$K42)/($A54-$A42)),0)</f>
        <v>0</v>
      </c>
      <c r="T5" s="27">
        <f>IF(AND(Calculations!$B$5&gt;'Code Home'!$A$16,Calculations!$B$7=Calculations!$E$51,Calculations!$B$6='Code Home'!$B5),$K66+(Calculations!$B$5-$A66)*(($K66-$K54)/($A66-$A54)),0)</f>
        <v>0</v>
      </c>
      <c r="U5" s="27">
        <f t="shared" si="2"/>
        <v>0</v>
      </c>
      <c r="V5" s="27">
        <f t="shared" si="3"/>
        <v>0</v>
      </c>
      <c r="W5" s="27"/>
    </row>
    <row r="6" spans="1:23" ht="12.75">
      <c r="A6" s="27">
        <v>1219</v>
      </c>
      <c r="B6" s="27" t="s">
        <v>63</v>
      </c>
      <c r="C6" s="27">
        <v>426</v>
      </c>
      <c r="D6" s="27">
        <v>687</v>
      </c>
      <c r="E6" s="27">
        <v>853</v>
      </c>
      <c r="F6" s="27">
        <v>221</v>
      </c>
      <c r="G6" s="27">
        <v>44</v>
      </c>
      <c r="H6" s="27">
        <v>4072</v>
      </c>
      <c r="I6" s="27"/>
      <c r="J6" s="27">
        <f t="shared" si="0"/>
        <v>647</v>
      </c>
      <c r="K6" s="27">
        <f t="shared" si="1"/>
        <v>5656</v>
      </c>
      <c r="L6" s="23"/>
      <c r="M6" s="27">
        <f>IF(AND(Calculations!$B$5&lt;='Code Home'!$A$16,Calculations!$B$7=Calculations!$E$52,Calculations!$B$6='Code Home'!$B6),$J18+(Calculations!$B$5-$A18)*(($J18-$J6)/($A18-$A6)),0)</f>
        <v>0</v>
      </c>
      <c r="N6" s="27">
        <f>IF(AND(Calculations!$B$5&lt;='Code Home'!$A$16,Calculations!$B$7=Calculations!$E$52,Calculations!$B$6='Code Home'!$B6,Calculations!$B$8=Calculations!$E$48),$K18+(Calculations!$B$5-$A18)*(($K18-$K6)/($A18-$A6)),0)</f>
        <v>0</v>
      </c>
      <c r="O6" s="27">
        <f>IF(AND(Calculations!$B$5&lt;='Code Home'!$A$16,Calculations!$B$7=Calculations!$E$52,Calculations!$B$6='Code Home'!$B6,Calculations!$B$8=Calculations!$E$49),($K18+(Calculations!$B$5-$A18)*(($K18-$K6)/($A18-$A6)))-E6,0)</f>
        <v>0</v>
      </c>
      <c r="P6" s="27">
        <f>IF(AND(Calculations!$B$5&gt;'Code Home'!$A$16,Calculations!$B$7=Calculations!$E$52,Calculations!$B$6='Code Home'!$B6),$J30+(Calculations!$B$5-$A30)*(($J30-$J30)/($A30-$A18)),0)</f>
        <v>0</v>
      </c>
      <c r="Q6" s="27">
        <f>IF(AND(Calculations!$B$5&gt;'Code Home'!$A$16,Calculations!$B$7=Calculations!$E$52,Calculations!$B$6='Code Home'!$B6,Calculations!$B$8=Calculations!$E$48),$K30+(Calculations!$B$5-$A30)*(($K30-$K18)/($A30-$A18)),0)</f>
        <v>0</v>
      </c>
      <c r="R6" s="27">
        <f>IF(AND(Calculations!$B$5&gt;'Code Home'!$A$16,Calculations!$B$7=Calculations!$E$52,Calculations!$B$6='Code Home'!$B6,Calculations!$B$8=Calculations!$E$49),$K30+(Calculations!$B$5-$A30)*(($K30-$K18)/($A30-$A18))-E18,0)</f>
        <v>0</v>
      </c>
      <c r="S6" s="27">
        <f>IF(AND(Calculations!$B$5&lt;='Code Home'!$A$16,Calculations!$B$7=Calculations!$E$51,Calculations!$B$6='Code Home'!$B6),$K55+(Calculations!$B$5-$A55)*(($K55-$K43)/($A55-$A43)),0)</f>
        <v>0</v>
      </c>
      <c r="T6" s="27">
        <f>IF(AND(Calculations!$B$5&gt;'Code Home'!$A$16,Calculations!$B$7=Calculations!$E$51,Calculations!$B$6='Code Home'!$B6),$K67+(Calculations!$B$5-$A67)*(($K67-$K55)/($A67-$A55)),0)</f>
        <v>0</v>
      </c>
      <c r="U6" s="27">
        <f t="shared" si="2"/>
        <v>0</v>
      </c>
      <c r="V6" s="27">
        <f t="shared" si="3"/>
        <v>0</v>
      </c>
      <c r="W6" s="27"/>
    </row>
    <row r="7" spans="1:23" ht="12.75">
      <c r="A7" s="27">
        <v>1219</v>
      </c>
      <c r="B7" s="27" t="s">
        <v>64</v>
      </c>
      <c r="C7" s="27">
        <v>301</v>
      </c>
      <c r="D7" s="27">
        <v>601</v>
      </c>
      <c r="E7" s="27">
        <v>680</v>
      </c>
      <c r="F7" s="27">
        <v>208</v>
      </c>
      <c r="G7" s="27">
        <v>44</v>
      </c>
      <c r="H7" s="27">
        <v>4082</v>
      </c>
      <c r="I7" s="27"/>
      <c r="J7" s="27">
        <f t="shared" si="0"/>
        <v>509</v>
      </c>
      <c r="K7" s="27">
        <f t="shared" si="1"/>
        <v>5407</v>
      </c>
      <c r="L7" s="23"/>
      <c r="M7" s="27">
        <f>IF(AND(Calculations!$B$5&lt;='Code Home'!$A$16,Calculations!$B$7=Calculations!$E$52,Calculations!$B$6='Code Home'!$B7),$J19+(Calculations!$B$5-$A19)*(($J19-$J7)/($A19-$A7)),0)</f>
        <v>0</v>
      </c>
      <c r="N7" s="27">
        <f>IF(AND(Calculations!$B$5&lt;='Code Home'!$A$16,Calculations!$B$7=Calculations!$E$52,Calculations!$B$6='Code Home'!$B7,Calculations!$B$8=Calculations!$E$48),$K19+(Calculations!$B$5-$A19)*(($K19-$K7)/($A19-$A7)),0)</f>
        <v>0</v>
      </c>
      <c r="O7" s="27">
        <f>IF(AND(Calculations!$B$5&lt;='Code Home'!$A$16,Calculations!$B$7=Calculations!$E$52,Calculations!$B$6='Code Home'!$B7,Calculations!$B$8=Calculations!$E$49),($K19+(Calculations!$B$5-$A19)*(($K19-$K7)/($A19-$A7)))-E7,0)</f>
        <v>0</v>
      </c>
      <c r="P7" s="27">
        <f>IF(AND(Calculations!$B$5&gt;'Code Home'!$A$16,Calculations!$B$7=Calculations!$E$52,Calculations!$B$6='Code Home'!$B7),$J31+(Calculations!$B$5-$A31)*(($J31-$J31)/($A31-$A19)),0)</f>
        <v>0</v>
      </c>
      <c r="Q7" s="27">
        <f>IF(AND(Calculations!$B$5&gt;'Code Home'!$A$16,Calculations!$B$7=Calculations!$E$52,Calculations!$B$6='Code Home'!$B7,Calculations!$B$8=Calculations!$E$48),$K31+(Calculations!$B$5-$A31)*(($K31-$K19)/($A31-$A19)),0)</f>
        <v>0</v>
      </c>
      <c r="R7" s="27">
        <f>IF(AND(Calculations!$B$5&gt;'Code Home'!$A$16,Calculations!$B$7=Calculations!$E$52,Calculations!$B$6='Code Home'!$B7,Calculations!$B$8=Calculations!$E$49),$K31+(Calculations!$B$5-$A31)*(($K31-$K19)/($A31-$A19))-E19,0)</f>
        <v>0</v>
      </c>
      <c r="S7" s="27">
        <f>IF(AND(Calculations!$B$5&lt;='Code Home'!$A$16,Calculations!$B$7=Calculations!$E$51,Calculations!$B$6='Code Home'!$B7),$K56+(Calculations!$B$5-$A56)*(($K56-$K44)/($A56-$A44)),0)</f>
        <v>0</v>
      </c>
      <c r="T7" s="27">
        <f>IF(AND(Calculations!$B$5&gt;'Code Home'!$A$16,Calculations!$B$7=Calculations!$E$51,Calculations!$B$6='Code Home'!$B7),$K68+(Calculations!$B$5-$A68)*(($K68-$K56)/($A68-$A56)),0)</f>
        <v>0</v>
      </c>
      <c r="U7" s="27">
        <f t="shared" si="2"/>
        <v>0</v>
      </c>
      <c r="V7" s="27">
        <f t="shared" si="3"/>
        <v>0</v>
      </c>
      <c r="W7" s="27"/>
    </row>
    <row r="8" spans="1:23" ht="12.75">
      <c r="A8" s="27">
        <v>1219</v>
      </c>
      <c r="B8" s="27" t="s">
        <v>65</v>
      </c>
      <c r="C8" s="27">
        <v>481</v>
      </c>
      <c r="D8" s="27">
        <v>697</v>
      </c>
      <c r="E8" s="27">
        <v>929</v>
      </c>
      <c r="F8" s="27">
        <v>225</v>
      </c>
      <c r="G8" s="27">
        <v>44</v>
      </c>
      <c r="H8" s="27">
        <v>4082</v>
      </c>
      <c r="I8" s="27"/>
      <c r="J8" s="27">
        <f t="shared" si="0"/>
        <v>706</v>
      </c>
      <c r="K8" s="27">
        <f t="shared" si="1"/>
        <v>5752</v>
      </c>
      <c r="L8" s="23"/>
      <c r="M8" s="27">
        <f>IF(AND(Calculations!$B$5&lt;='Code Home'!$A$16,Calculations!$B$7=Calculations!$E$52,Calculations!$B$6='Code Home'!$B8),$J20+(Calculations!$B$5-$A20)*(($J20-$J8)/($A20-$A8)),0)</f>
        <v>0</v>
      </c>
      <c r="N8" s="27">
        <f>IF(AND(Calculations!$B$5&lt;='Code Home'!$A$16,Calculations!$B$7=Calculations!$E$52,Calculations!$B$6='Code Home'!$B8,Calculations!$B$8=Calculations!$E$48),$K20+(Calculations!$B$5-$A20)*(($K20-$K8)/($A20-$A8)),0)</f>
        <v>0</v>
      </c>
      <c r="O8" s="27">
        <f>IF(AND(Calculations!$B$5&lt;='Code Home'!$A$16,Calculations!$B$7=Calculations!$E$52,Calculations!$B$6='Code Home'!$B8,Calculations!$B$8=Calculations!$E$49),($K20+(Calculations!$B$5-$A20)*(($K20-$K8)/($A20-$A8)))-E8,0)</f>
        <v>0</v>
      </c>
      <c r="P8" s="27">
        <f>IF(AND(Calculations!$B$5&gt;'Code Home'!$A$16,Calculations!$B$7=Calculations!$E$52,Calculations!$B$6='Code Home'!$B8),$J32+(Calculations!$B$5-$A32)*(($J32-$J32)/($A32-$A20)),0)</f>
        <v>0</v>
      </c>
      <c r="Q8" s="27">
        <f>IF(AND(Calculations!$B$5&gt;'Code Home'!$A$16,Calculations!$B$7=Calculations!$E$52,Calculations!$B$6='Code Home'!$B8,Calculations!$B$8=Calculations!$E$48),$K32+(Calculations!$B$5-$A32)*(($K32-$K20)/($A32-$A20)),0)</f>
        <v>0</v>
      </c>
      <c r="R8" s="27">
        <f>IF(AND(Calculations!$B$5&gt;'Code Home'!$A$16,Calculations!$B$7=Calculations!$E$52,Calculations!$B$6='Code Home'!$B8,Calculations!$B$8=Calculations!$E$49),$K32+(Calculations!$B$5-$A32)*(($K32-$K20)/($A32-$A20))-E20,0)</f>
        <v>0</v>
      </c>
      <c r="S8" s="27">
        <f>IF(AND(Calculations!$B$5&lt;='Code Home'!$A$16,Calculations!$B$7=Calculations!$E$51,Calculations!$B$6='Code Home'!$B8),$K57+(Calculations!$B$5-$A57)*(($K57-$K45)/($A57-$A45)),0)</f>
        <v>0</v>
      </c>
      <c r="T8" s="27">
        <f>IF(AND(Calculations!$B$5&gt;'Code Home'!$A$16,Calculations!$B$7=Calculations!$E$51,Calculations!$B$6='Code Home'!$B8),$K69+(Calculations!$B$5-$A69)*(($K69-$K57)/($A69-$A57)),0)</f>
        <v>0</v>
      </c>
      <c r="U8" s="27">
        <f t="shared" si="2"/>
        <v>0</v>
      </c>
      <c r="V8" s="27">
        <f t="shared" si="3"/>
        <v>0</v>
      </c>
      <c r="W8" s="27"/>
    </row>
    <row r="9" spans="1:23" ht="12.75">
      <c r="A9" s="27">
        <v>1219</v>
      </c>
      <c r="B9" s="27" t="s">
        <v>66</v>
      </c>
      <c r="C9" s="27">
        <v>416</v>
      </c>
      <c r="D9" s="27">
        <v>645</v>
      </c>
      <c r="E9" s="27">
        <v>1073</v>
      </c>
      <c r="F9" s="27">
        <v>218</v>
      </c>
      <c r="G9" s="27">
        <v>44</v>
      </c>
      <c r="H9" s="27">
        <v>4082</v>
      </c>
      <c r="I9" s="27"/>
      <c r="J9" s="27">
        <f t="shared" si="0"/>
        <v>634</v>
      </c>
      <c r="K9" s="27">
        <f t="shared" si="1"/>
        <v>5844</v>
      </c>
      <c r="L9" s="23"/>
      <c r="M9" s="27">
        <f>IF(AND(Calculations!$B$5&lt;='Code Home'!$A$16,Calculations!$B$7=Calculations!$E$52,Calculations!$B$6='Code Home'!$B9),$J21+(Calculations!$B$5-$A21)*(($J21-$J9)/($A21-$A9)),0)</f>
        <v>0</v>
      </c>
      <c r="N9" s="27">
        <f>IF(AND(Calculations!$B$5&lt;='Code Home'!$A$16,Calculations!$B$7=Calculations!$E$52,Calculations!$B$6='Code Home'!$B9,Calculations!$B$8=Calculations!$E$48),$K21+(Calculations!$B$5-$A21)*(($K21-$K9)/($A21-$A9)),0)</f>
        <v>0</v>
      </c>
      <c r="O9" s="27">
        <f>IF(AND(Calculations!$B$5&lt;='Code Home'!$A$16,Calculations!$B$7=Calculations!$E$52,Calculations!$B$6='Code Home'!$B9,Calculations!$B$8=Calculations!$E$49),($K21+(Calculations!$B$5-$A21)*(($K21-$K9)/($A21-$A9)))-E9,0)</f>
        <v>0</v>
      </c>
      <c r="P9" s="27">
        <f>IF(AND(Calculations!$B$5&gt;'Code Home'!$A$16,Calculations!$B$7=Calculations!$E$52,Calculations!$B$6='Code Home'!$B9),$J33+(Calculations!$B$5-$A33)*(($J33-$J33)/($A33-$A21)),0)</f>
        <v>0</v>
      </c>
      <c r="Q9" s="27">
        <f>IF(AND(Calculations!$B$5&gt;'Code Home'!$A$16,Calculations!$B$7=Calculations!$E$52,Calculations!$B$6='Code Home'!$B9,Calculations!$B$8=Calculations!$E$48),$K33+(Calculations!$B$5-$A33)*(($K33-$K21)/($A33-$A21)),0)</f>
        <v>0</v>
      </c>
      <c r="R9" s="27">
        <f>IF(AND(Calculations!$B$5&gt;'Code Home'!$A$16,Calculations!$B$7=Calculations!$E$52,Calculations!$B$6='Code Home'!$B9,Calculations!$B$8=Calculations!$E$49),$K33+(Calculations!$B$5-$A33)*(($K33-$K21)/($A33-$A21))-E21,0)</f>
        <v>0</v>
      </c>
      <c r="S9" s="27">
        <f>IF(AND(Calculations!$B$5&lt;='Code Home'!$A$16,Calculations!$B$7=Calculations!$E$51,Calculations!$B$6='Code Home'!$B9),$K58+(Calculations!$B$5-$A58)*(($K58-$K46)/($A58-$A46)),0)</f>
        <v>0</v>
      </c>
      <c r="T9" s="27">
        <f>IF(AND(Calculations!$B$5&gt;'Code Home'!$A$16,Calculations!$B$7=Calculations!$E$51,Calculations!$B$6='Code Home'!$B9),$K70+(Calculations!$B$5-$A70)*(($K70-$K58)/($A70-$A58)),0)</f>
        <v>0</v>
      </c>
      <c r="U9" s="27">
        <f t="shared" si="2"/>
        <v>0</v>
      </c>
      <c r="V9" s="27">
        <f t="shared" si="3"/>
        <v>0</v>
      </c>
      <c r="W9" s="27"/>
    </row>
    <row r="10" spans="1:23" ht="12.75">
      <c r="A10" s="27">
        <v>1219</v>
      </c>
      <c r="B10" s="27" t="s">
        <v>67</v>
      </c>
      <c r="C10" s="27">
        <v>429</v>
      </c>
      <c r="D10" s="27">
        <v>611</v>
      </c>
      <c r="E10" s="27">
        <v>1343</v>
      </c>
      <c r="F10" s="27">
        <v>214</v>
      </c>
      <c r="G10" s="27">
        <v>44</v>
      </c>
      <c r="H10" s="27">
        <v>4072</v>
      </c>
      <c r="I10" s="27"/>
      <c r="J10" s="27">
        <f t="shared" si="0"/>
        <v>643</v>
      </c>
      <c r="K10" s="27">
        <f t="shared" si="1"/>
        <v>6070</v>
      </c>
      <c r="L10" s="23"/>
      <c r="M10" s="27">
        <f>IF(AND(Calculations!$B$5&lt;='Code Home'!$A$16,Calculations!$B$7=Calculations!$E$52,Calculations!$B$6='Code Home'!$B10),$J22+(Calculations!$B$5-$A22)*(($J22-$J10)/($A22-$A10)),0)</f>
        <v>0</v>
      </c>
      <c r="N10" s="27">
        <f>IF(AND(Calculations!$B$5&lt;='Code Home'!$A$16,Calculations!$B$7=Calculations!$E$52,Calculations!$B$6='Code Home'!$B10,Calculations!$B$8=Calculations!$E$48),$K22+(Calculations!$B$5-$A22)*(($K22-$K10)/($A22-$A10)),0)</f>
        <v>0</v>
      </c>
      <c r="O10" s="27">
        <f>IF(AND(Calculations!$B$5&lt;='Code Home'!$A$16,Calculations!$B$7=Calculations!$E$52,Calculations!$B$6='Code Home'!$B10,Calculations!$B$8=Calculations!$E$49),($K22+(Calculations!$B$5-$A22)*(($K22-$K10)/($A22-$A10)))-E10,0)</f>
        <v>0</v>
      </c>
      <c r="P10" s="27">
        <f>IF(AND(Calculations!$B$5&gt;'Code Home'!$A$16,Calculations!$B$7=Calculations!$E$52,Calculations!$B$6='Code Home'!$B10),$J34+(Calculations!$B$5-$A34)*(($J34-$J34)/($A34-$A22)),0)</f>
        <v>0</v>
      </c>
      <c r="Q10" s="27">
        <f>IF(AND(Calculations!$B$5&gt;'Code Home'!$A$16,Calculations!$B$7=Calculations!$E$52,Calculations!$B$6='Code Home'!$B10,Calculations!$B$8=Calculations!$E$48),$K34+(Calculations!$B$5-$A34)*(($K34-$K22)/($A34-$A22)),0)</f>
        <v>0</v>
      </c>
      <c r="R10" s="27">
        <f>IF(AND(Calculations!$B$5&gt;'Code Home'!$A$16,Calculations!$B$7=Calculations!$E$52,Calculations!$B$6='Code Home'!$B10,Calculations!$B$8=Calculations!$E$49),$K34+(Calculations!$B$5-$A34)*(($K34-$K22)/($A34-$A22))-E22,0)</f>
        <v>0</v>
      </c>
      <c r="S10" s="27">
        <f>IF(AND(Calculations!$B$5&lt;='Code Home'!$A$16,Calculations!$B$7=Calculations!$E$51,Calculations!$B$6='Code Home'!$B10),$K59+(Calculations!$B$5-$A59)*(($K59-$K47)/($A59-$A47)),0)</f>
        <v>0</v>
      </c>
      <c r="T10" s="27">
        <f>IF(AND(Calculations!$B$5&gt;'Code Home'!$A$16,Calculations!$B$7=Calculations!$E$51,Calculations!$B$6='Code Home'!$B10),$K71+(Calculations!$B$5-$A71)*(($K71-$K59)/($A71-$A59)),0)</f>
        <v>0</v>
      </c>
      <c r="U10" s="27">
        <f t="shared" si="2"/>
        <v>0</v>
      </c>
      <c r="V10" s="27">
        <f t="shared" si="3"/>
        <v>0</v>
      </c>
      <c r="W10" s="27"/>
    </row>
    <row r="11" spans="1:23" ht="12.75">
      <c r="A11" s="27">
        <v>1219</v>
      </c>
      <c r="B11" s="27" t="s">
        <v>68</v>
      </c>
      <c r="C11" s="27">
        <v>516</v>
      </c>
      <c r="D11" s="27">
        <v>700</v>
      </c>
      <c r="E11" s="27">
        <v>963</v>
      </c>
      <c r="F11" s="27">
        <v>228</v>
      </c>
      <c r="G11" s="27">
        <v>44</v>
      </c>
      <c r="H11" s="27">
        <v>4072</v>
      </c>
      <c r="I11" s="27"/>
      <c r="J11" s="27">
        <f t="shared" si="0"/>
        <v>744</v>
      </c>
      <c r="K11" s="27">
        <f t="shared" si="1"/>
        <v>5779</v>
      </c>
      <c r="L11" s="23"/>
      <c r="M11" s="27">
        <f>IF(AND(Calculations!$B$5&lt;='Code Home'!$A$16,Calculations!$B$7=Calculations!$E$52,Calculations!$B$6='Code Home'!$B11),$J23+(Calculations!$B$5-$A23)*(($J23-$J11)/($A23-$A11)),0)</f>
        <v>0</v>
      </c>
      <c r="N11" s="27">
        <f>IF(AND(Calculations!$B$5&lt;='Code Home'!$A$16,Calculations!$B$7=Calculations!$E$52,Calculations!$B$6='Code Home'!$B11,Calculations!$B$8=Calculations!$E$48),$K23+(Calculations!$B$5-$A23)*(($K23-$K11)/($A23-$A11)),0)</f>
        <v>0</v>
      </c>
      <c r="O11" s="27">
        <f>IF(AND(Calculations!$B$5&lt;='Code Home'!$A$16,Calculations!$B$7=Calculations!$E$52,Calculations!$B$6='Code Home'!$B11,Calculations!$B$8=Calculations!$E$49),($K23+(Calculations!$B$5-$A23)*(($K23-$K11)/($A23-$A11)))-E11,0)</f>
        <v>0</v>
      </c>
      <c r="P11" s="27">
        <f>IF(AND(Calculations!$B$5&gt;'Code Home'!$A$16,Calculations!$B$7=Calculations!$E$52,Calculations!$B$6='Code Home'!$B11),$J35+(Calculations!$B$5-$A35)*(($J35-$J35)/($A35-$A23)),0)</f>
        <v>0</v>
      </c>
      <c r="Q11" s="27">
        <f>IF(AND(Calculations!$B$5&gt;'Code Home'!$A$16,Calculations!$B$7=Calculations!$E$52,Calculations!$B$6='Code Home'!$B11,Calculations!$B$8=Calculations!$E$48),$K35+(Calculations!$B$5-$A35)*(($K35-$K23)/($A35-$A23)),0)</f>
        <v>0</v>
      </c>
      <c r="R11" s="27">
        <f>IF(AND(Calculations!$B$5&gt;'Code Home'!$A$16,Calculations!$B$7=Calculations!$E$52,Calculations!$B$6='Code Home'!$B11,Calculations!$B$8=Calculations!$E$49),$K35+(Calculations!$B$5-$A35)*(($K35-$K23)/($A35-$A23))-E23,0)</f>
        <v>0</v>
      </c>
      <c r="S11" s="27">
        <f>IF(AND(Calculations!$B$5&lt;='Code Home'!$A$16,Calculations!$B$7=Calculations!$E$51,Calculations!$B$6='Code Home'!$B11),$K60+(Calculations!$B$5-$A60)*(($K60-$K48)/($A60-$A48)),0)</f>
        <v>0</v>
      </c>
      <c r="T11" s="27">
        <f>IF(AND(Calculations!$B$5&gt;'Code Home'!$A$16,Calculations!$B$7=Calculations!$E$51,Calculations!$B$6='Code Home'!$B11),$K72+(Calculations!$B$5-$A72)*(($K72-$K60)/($A72-$A60)),0)</f>
        <v>0</v>
      </c>
      <c r="U11" s="27">
        <f t="shared" si="2"/>
        <v>0</v>
      </c>
      <c r="V11" s="27">
        <f t="shared" si="3"/>
        <v>0</v>
      </c>
      <c r="W11" s="27"/>
    </row>
    <row r="12" spans="1:23" ht="12.75">
      <c r="A12" s="27">
        <v>1219</v>
      </c>
      <c r="B12" s="27" t="s">
        <v>69</v>
      </c>
      <c r="C12" s="27">
        <v>585</v>
      </c>
      <c r="D12" s="27">
        <v>797</v>
      </c>
      <c r="E12" s="27">
        <v>802</v>
      </c>
      <c r="F12" s="27">
        <v>235</v>
      </c>
      <c r="G12" s="27">
        <v>44</v>
      </c>
      <c r="H12" s="27">
        <v>4072</v>
      </c>
      <c r="I12" s="27"/>
      <c r="J12" s="27">
        <f t="shared" si="0"/>
        <v>820</v>
      </c>
      <c r="K12" s="27">
        <f t="shared" si="1"/>
        <v>5715</v>
      </c>
      <c r="L12" s="23"/>
      <c r="M12" s="27">
        <f>IF(AND(Calculations!$B$5&lt;='Code Home'!$A$16,Calculations!$B$7=Calculations!$E$52,Calculations!$B$6='Code Home'!$B12),$J24+(Calculations!$B$5-$A24)*(($J24-$J12)/($A24-$A12)),0)</f>
        <v>0</v>
      </c>
      <c r="N12" s="27">
        <f>IF(AND(Calculations!$B$5&lt;='Code Home'!$A$16,Calculations!$B$7=Calculations!$E$52,Calculations!$B$6='Code Home'!$B12,Calculations!$B$8=Calculations!$E$48),$K24+(Calculations!$B$5-$A24)*(($K24-$K12)/($A24-$A12)),0)</f>
        <v>0</v>
      </c>
      <c r="O12" s="27">
        <f>IF(AND(Calculations!$B$5&lt;='Code Home'!$A$16,Calculations!$B$7=Calculations!$E$52,Calculations!$B$6='Code Home'!$B12,Calculations!$B$8=Calculations!$E$49),($K24+(Calculations!$B$5-$A24)*(($K24-$K12)/($A24-$A12)))-E12,0)</f>
        <v>0</v>
      </c>
      <c r="P12" s="27">
        <f>IF(AND(Calculations!$B$5&gt;'Code Home'!$A$16,Calculations!$B$7=Calculations!$E$52,Calculations!$B$6='Code Home'!$B12),$J36+(Calculations!$B$5-$A36)*(($J36-$J36)/($A36-$A24)),0)</f>
        <v>0</v>
      </c>
      <c r="Q12" s="27">
        <f>IF(AND(Calculations!$B$5&gt;'Code Home'!$A$16,Calculations!$B$7=Calculations!$E$52,Calculations!$B$6='Code Home'!$B12,Calculations!$B$8=Calculations!$E$48),$K36+(Calculations!$B$5-$A36)*(($K36-$K24)/($A36-$A24)),0)</f>
        <v>0</v>
      </c>
      <c r="R12" s="27">
        <f>IF(AND(Calculations!$B$5&gt;'Code Home'!$A$16,Calculations!$B$7=Calculations!$E$52,Calculations!$B$6='Code Home'!$B12,Calculations!$B$8=Calculations!$E$49),$K36+(Calculations!$B$5-$A36)*(($K36-$K24)/($A36-$A24))-E24,0)</f>
        <v>0</v>
      </c>
      <c r="S12" s="27">
        <f>IF(AND(Calculations!$B$5&lt;='Code Home'!$A$16,Calculations!$B$7=Calculations!$E$51,Calculations!$B$6='Code Home'!$B12),$K61+(Calculations!$B$5-$A61)*(($K61-$K49)/($A61-$A49)),0)</f>
        <v>0</v>
      </c>
      <c r="T12" s="27">
        <f>IF(AND(Calculations!$B$5&gt;'Code Home'!$A$16,Calculations!$B$7=Calculations!$E$51,Calculations!$B$6='Code Home'!$B12),$K73+(Calculations!$B$5-$A73)*(($K73-$K61)/($A73-$A61)),0)</f>
        <v>0</v>
      </c>
      <c r="U12" s="27">
        <f t="shared" si="2"/>
        <v>0</v>
      </c>
      <c r="V12" s="27">
        <f t="shared" si="3"/>
        <v>0</v>
      </c>
      <c r="W12" s="27"/>
    </row>
    <row r="13" spans="1:23" ht="12.75">
      <c r="A13" s="27">
        <v>1219</v>
      </c>
      <c r="B13" s="27" t="s">
        <v>70</v>
      </c>
      <c r="C13" s="27">
        <v>577</v>
      </c>
      <c r="D13" s="27">
        <v>789</v>
      </c>
      <c r="E13" s="27">
        <v>691</v>
      </c>
      <c r="F13" s="27">
        <v>234</v>
      </c>
      <c r="G13" s="27">
        <v>44</v>
      </c>
      <c r="H13" s="27">
        <v>4072</v>
      </c>
      <c r="I13" s="27"/>
      <c r="J13" s="27">
        <f t="shared" si="0"/>
        <v>811</v>
      </c>
      <c r="K13" s="27">
        <f t="shared" si="1"/>
        <v>5596</v>
      </c>
      <c r="L13" s="23"/>
      <c r="M13" s="27">
        <f>IF(AND(Calculations!$B$5&lt;='Code Home'!$A$16,Calculations!$B$7=Calculations!$E$52,Calculations!$B$6='Code Home'!$B13),$J25+(Calculations!$B$5-$A25)*(($J25-$J13)/($A25-$A13)),0)</f>
        <v>0</v>
      </c>
      <c r="N13" s="27">
        <f>IF(AND(Calculations!$B$5&lt;='Code Home'!$A$16,Calculations!$B$7=Calculations!$E$52,Calculations!$B$6='Code Home'!$B13,Calculations!$B$8=Calculations!$E$48),$K25+(Calculations!$B$5-$A25)*(($K25-$K13)/($A25-$A13)),0)</f>
        <v>0</v>
      </c>
      <c r="O13" s="27">
        <f>IF(AND(Calculations!$B$5&lt;='Code Home'!$A$16,Calculations!$B$7=Calculations!$E$52,Calculations!$B$6='Code Home'!$B13,Calculations!$B$8=Calculations!$E$49),($K25+(Calculations!$B$5-$A25)*(($K25-$K13)/($A25-$A13)))-E13,0)</f>
        <v>0</v>
      </c>
      <c r="P13" s="27">
        <f>IF(AND(Calculations!$B$5&gt;'Code Home'!$A$16,Calculations!$B$7=Calculations!$E$52,Calculations!$B$6='Code Home'!$B13),$J37+(Calculations!$B$5-$A37)*(($J37-$J37)/($A37-$A25)),0)</f>
        <v>0</v>
      </c>
      <c r="Q13" s="27">
        <f>IF(AND(Calculations!$B$5&gt;'Code Home'!$A$16,Calculations!$B$7=Calculations!$E$52,Calculations!$B$6='Code Home'!$B13,Calculations!$B$8=Calculations!$E$48),$K37+(Calculations!$B$5-$A37)*(($K37-$K25)/($A37-$A25)),0)</f>
        <v>0</v>
      </c>
      <c r="R13" s="27">
        <f>IF(AND(Calculations!$B$5&gt;'Code Home'!$A$16,Calculations!$B$7=Calculations!$E$52,Calculations!$B$6='Code Home'!$B13,Calculations!$B$8=Calculations!$E$49),$K37+(Calculations!$B$5-$A37)*(($K37-$K25)/($A37-$A25))-E25,0)</f>
        <v>0</v>
      </c>
      <c r="S13" s="27">
        <f>IF(AND(Calculations!$B$5&lt;='Code Home'!$A$16,Calculations!$B$7=Calculations!$E$51,Calculations!$B$6='Code Home'!$B13),$K62+(Calculations!$B$5-$A62)*(($K62-$K50)/($A62-$A50)),0)</f>
        <v>0</v>
      </c>
      <c r="T13" s="27">
        <f>IF(AND(Calculations!$B$5&gt;'Code Home'!$A$16,Calculations!$B$7=Calculations!$E$51,Calculations!$B$6='Code Home'!$B13),$K74+(Calculations!$B$5-$A74)*(($K74-$K62)/($A74-$A62)),0)</f>
        <v>0</v>
      </c>
      <c r="U13" s="27">
        <f t="shared" si="2"/>
        <v>0</v>
      </c>
      <c r="V13" s="27">
        <f t="shared" si="3"/>
        <v>0</v>
      </c>
      <c r="W13" s="27"/>
    </row>
    <row r="14" spans="1:23" ht="12.75">
      <c r="A14" s="27">
        <v>1219</v>
      </c>
      <c r="B14" s="27" t="s">
        <v>71</v>
      </c>
      <c r="C14" s="27">
        <v>514</v>
      </c>
      <c r="D14" s="27">
        <v>711</v>
      </c>
      <c r="E14" s="27">
        <v>1018</v>
      </c>
      <c r="F14" s="27">
        <v>227</v>
      </c>
      <c r="G14" s="27">
        <v>44</v>
      </c>
      <c r="H14" s="27">
        <v>4072</v>
      </c>
      <c r="I14" s="27"/>
      <c r="J14" s="27">
        <f t="shared" si="0"/>
        <v>741</v>
      </c>
      <c r="K14" s="27">
        <f t="shared" si="1"/>
        <v>5845</v>
      </c>
      <c r="L14" s="23"/>
      <c r="M14" s="27">
        <f>IF(AND(Calculations!$B$5&lt;='Code Home'!$A$16,Calculations!$B$7=Calculations!$E$52,Calculations!$B$6='Code Home'!$B14),$J26+(Calculations!$B$5-$A26)*(($J26-$J14)/($A26-$A14)),0)</f>
        <v>0</v>
      </c>
      <c r="N14" s="27">
        <f>IF(AND(Calculations!$B$5&lt;='Code Home'!$A$16,Calculations!$B$7=Calculations!$E$52,Calculations!$B$6='Code Home'!$B14,Calculations!$B$8=Calculations!$E$48),$K26+(Calculations!$B$5-$A26)*(($K26-$K14)/($A26-$A14)),0)</f>
        <v>0</v>
      </c>
      <c r="O14" s="27">
        <f>IF(AND(Calculations!$B$5&lt;='Code Home'!$A$16,Calculations!$B$7=Calculations!$E$52,Calculations!$B$6='Code Home'!$B14,Calculations!$B$8=Calculations!$E$49),($K26+(Calculations!$B$5-$A26)*(($K26-$K14)/($A26-$A14)))-E14,0)</f>
        <v>0</v>
      </c>
      <c r="P14" s="27">
        <f>IF(AND(Calculations!$B$5&gt;'Code Home'!$A$16,Calculations!$B$7=Calculations!$E$52,Calculations!$B$6='Code Home'!$B14),$J38+(Calculations!$B$5-$A38)*(($J38-$J38)/($A38-$A26)),0)</f>
        <v>0</v>
      </c>
      <c r="Q14" s="27">
        <f>IF(AND(Calculations!$B$5&gt;'Code Home'!$A$16,Calculations!$B$7=Calculations!$E$52,Calculations!$B$6='Code Home'!$B14,Calculations!$B$8=Calculations!$E$48),$K38+(Calculations!$B$5-$A38)*(($K38-$K26)/($A38-$A26)),0)</f>
        <v>0</v>
      </c>
      <c r="R14" s="27">
        <f>IF(AND(Calculations!$B$5&gt;'Code Home'!$A$16,Calculations!$B$7=Calculations!$E$52,Calculations!$B$6='Code Home'!$B14,Calculations!$B$8=Calculations!$E$49),$K38+(Calculations!$B$5-$A38)*(($K38-$K26)/($A38-$A26))-E26,0)</f>
        <v>0</v>
      </c>
      <c r="S14" s="27">
        <f>IF(AND(Calculations!$B$5&lt;='Code Home'!$A$16,Calculations!$B$7=Calculations!$E$51,Calculations!$B$6='Code Home'!$B14),$K63+(Calculations!$B$5-$A63)*(($K63-$K51)/($A63-$A51)),0)</f>
        <v>0</v>
      </c>
      <c r="T14" s="27">
        <f>IF(AND(Calculations!$B$5&gt;'Code Home'!$A$16,Calculations!$B$7=Calculations!$E$51,Calculations!$B$6='Code Home'!$B14),$K75+(Calculations!$B$5-$A75)*(($K75-$K63)/($A75-$A63)),0)</f>
        <v>0</v>
      </c>
      <c r="U14" s="27">
        <f t="shared" si="2"/>
        <v>0</v>
      </c>
      <c r="V14" s="27">
        <f t="shared" si="3"/>
        <v>0</v>
      </c>
      <c r="W14" s="27"/>
    </row>
    <row r="15" spans="1:23" ht="12.75">
      <c r="A15" s="27"/>
      <c r="B15" s="27"/>
      <c r="C15" s="27"/>
      <c r="D15" s="27"/>
      <c r="E15" s="27"/>
      <c r="F15" s="27"/>
      <c r="G15" s="27"/>
      <c r="H15" s="27"/>
      <c r="I15" s="27"/>
      <c r="J15" s="27"/>
      <c r="K15" s="27"/>
      <c r="L15" s="23"/>
      <c r="M15" s="27"/>
      <c r="N15" s="27"/>
      <c r="O15" s="27"/>
      <c r="P15" s="27"/>
      <c r="Q15" s="27"/>
      <c r="R15" s="27"/>
      <c r="S15" s="27"/>
      <c r="T15" s="27"/>
      <c r="U15" s="27">
        <f>SUM(U4:U14)</f>
        <v>838.52</v>
      </c>
      <c r="V15" s="27">
        <f>SUM(V4:V14)</f>
        <v>9851.656</v>
      </c>
      <c r="W15" s="27"/>
    </row>
    <row r="16" spans="1:23" ht="12.75">
      <c r="A16" s="27">
        <v>2719</v>
      </c>
      <c r="B16" s="27" t="s">
        <v>6</v>
      </c>
      <c r="C16" s="27">
        <v>662</v>
      </c>
      <c r="D16" s="27">
        <v>941</v>
      </c>
      <c r="E16" s="27">
        <v>1436</v>
      </c>
      <c r="F16" s="27">
        <v>232</v>
      </c>
      <c r="G16" s="27">
        <v>44</v>
      </c>
      <c r="H16" s="27">
        <v>8170</v>
      </c>
      <c r="I16" s="27"/>
      <c r="J16" s="27">
        <f aca="true" t="shared" si="4" ref="J16:J26">C16+F16</f>
        <v>894</v>
      </c>
      <c r="K16" s="27">
        <f aca="true" t="shared" si="5" ref="K16:K26">D16+E16+G16+H16</f>
        <v>10591</v>
      </c>
      <c r="L16" s="23"/>
      <c r="M16" s="23"/>
      <c r="N16" s="23"/>
      <c r="O16" s="23"/>
      <c r="P16" s="23"/>
      <c r="Q16" s="23"/>
      <c r="R16" s="23"/>
      <c r="S16" s="23"/>
      <c r="T16" s="23"/>
      <c r="U16" s="23"/>
      <c r="V16" s="23"/>
      <c r="W16" s="23"/>
    </row>
    <row r="17" spans="1:23" ht="12.75">
      <c r="A17" s="27">
        <v>2719</v>
      </c>
      <c r="B17" s="27" t="s">
        <v>62</v>
      </c>
      <c r="C17" s="27">
        <v>691</v>
      </c>
      <c r="D17" s="27">
        <v>929</v>
      </c>
      <c r="E17" s="27">
        <v>1848</v>
      </c>
      <c r="F17" s="27">
        <v>242</v>
      </c>
      <c r="G17" s="27">
        <v>44</v>
      </c>
      <c r="H17" s="27">
        <v>8170</v>
      </c>
      <c r="I17" s="27"/>
      <c r="J17" s="27">
        <f t="shared" si="4"/>
        <v>933</v>
      </c>
      <c r="K17" s="27">
        <f t="shared" si="5"/>
        <v>10991</v>
      </c>
      <c r="L17" s="23"/>
      <c r="M17" s="23"/>
      <c r="N17" s="23"/>
      <c r="O17" s="23"/>
      <c r="P17" s="23"/>
      <c r="Q17" s="23"/>
      <c r="R17" s="23"/>
      <c r="S17" s="23"/>
      <c r="T17" s="23"/>
      <c r="U17" s="23"/>
      <c r="V17" s="23"/>
      <c r="W17" s="23"/>
    </row>
    <row r="18" spans="1:23" ht="12.75">
      <c r="A18" s="27">
        <v>2719</v>
      </c>
      <c r="B18" s="27" t="s">
        <v>63</v>
      </c>
      <c r="C18" s="27">
        <v>897</v>
      </c>
      <c r="D18" s="27">
        <v>1161</v>
      </c>
      <c r="E18" s="27">
        <v>1366</v>
      </c>
      <c r="F18" s="27">
        <v>247</v>
      </c>
      <c r="G18" s="27">
        <v>44</v>
      </c>
      <c r="H18" s="27">
        <v>8170</v>
      </c>
      <c r="I18" s="27"/>
      <c r="J18" s="27">
        <f t="shared" si="4"/>
        <v>1144</v>
      </c>
      <c r="K18" s="27">
        <f t="shared" si="5"/>
        <v>10741</v>
      </c>
      <c r="L18" s="23"/>
      <c r="M18" s="23"/>
      <c r="N18" s="23"/>
      <c r="O18" s="23"/>
      <c r="P18" s="23"/>
      <c r="Q18" s="23"/>
      <c r="R18" s="23"/>
      <c r="S18" s="23"/>
      <c r="T18" s="23"/>
      <c r="U18" s="23"/>
      <c r="V18" s="23"/>
      <c r="W18" s="23"/>
    </row>
    <row r="19" spans="1:23" ht="12.75">
      <c r="A19" s="27">
        <v>2719</v>
      </c>
      <c r="B19" s="27" t="s">
        <v>64</v>
      </c>
      <c r="C19" s="27">
        <v>649</v>
      </c>
      <c r="D19" s="27">
        <v>1030</v>
      </c>
      <c r="E19" s="27">
        <v>1078</v>
      </c>
      <c r="F19" s="27">
        <v>233</v>
      </c>
      <c r="G19" s="27">
        <v>44</v>
      </c>
      <c r="H19" s="27">
        <v>8192</v>
      </c>
      <c r="I19" s="27"/>
      <c r="J19" s="27">
        <f t="shared" si="4"/>
        <v>882</v>
      </c>
      <c r="K19" s="27">
        <f t="shared" si="5"/>
        <v>10344</v>
      </c>
      <c r="L19" s="23"/>
      <c r="M19" s="23"/>
      <c r="N19" s="23"/>
      <c r="O19" s="23"/>
      <c r="P19" s="23"/>
      <c r="Q19" s="23"/>
      <c r="R19" s="23"/>
      <c r="S19" s="23"/>
      <c r="T19" s="23"/>
      <c r="U19" s="23"/>
      <c r="V19" s="23"/>
      <c r="W19" s="23"/>
    </row>
    <row r="20" spans="1:23" ht="12.75">
      <c r="A20" s="27">
        <v>2719</v>
      </c>
      <c r="B20" s="27" t="s">
        <v>65</v>
      </c>
      <c r="C20" s="27">
        <v>1011</v>
      </c>
      <c r="D20" s="27">
        <v>1079</v>
      </c>
      <c r="E20" s="27">
        <v>1499</v>
      </c>
      <c r="F20" s="27">
        <v>252</v>
      </c>
      <c r="G20" s="27">
        <v>44</v>
      </c>
      <c r="H20" s="27">
        <v>8192</v>
      </c>
      <c r="I20" s="27"/>
      <c r="J20" s="27">
        <f t="shared" si="4"/>
        <v>1263</v>
      </c>
      <c r="K20" s="27">
        <f t="shared" si="5"/>
        <v>10814</v>
      </c>
      <c r="L20" s="23"/>
      <c r="M20" s="23"/>
      <c r="N20" s="23"/>
      <c r="O20" s="23"/>
      <c r="P20" s="23"/>
      <c r="Q20" s="23"/>
      <c r="R20" s="23"/>
      <c r="S20" s="23"/>
      <c r="T20" s="23"/>
      <c r="U20" s="23"/>
      <c r="V20" s="23"/>
      <c r="W20" s="23"/>
    </row>
    <row r="21" spans="1:23" ht="12.75">
      <c r="A21" s="27">
        <v>2719</v>
      </c>
      <c r="B21" s="27" t="s">
        <v>66</v>
      </c>
      <c r="C21" s="27">
        <v>880</v>
      </c>
      <c r="D21" s="27">
        <v>1088</v>
      </c>
      <c r="E21" s="27">
        <v>1738</v>
      </c>
      <c r="F21" s="27">
        <v>244</v>
      </c>
      <c r="G21" s="27">
        <v>44</v>
      </c>
      <c r="H21" s="27">
        <v>8192</v>
      </c>
      <c r="I21" s="27"/>
      <c r="J21" s="27">
        <f t="shared" si="4"/>
        <v>1124</v>
      </c>
      <c r="K21" s="27">
        <f t="shared" si="5"/>
        <v>11062</v>
      </c>
      <c r="L21" s="23"/>
      <c r="M21" s="23"/>
      <c r="N21" s="23"/>
      <c r="O21" s="23"/>
      <c r="P21" s="23"/>
      <c r="Q21" s="23"/>
      <c r="R21" s="23"/>
      <c r="S21" s="23"/>
      <c r="T21" s="23"/>
      <c r="U21" s="23"/>
      <c r="V21" s="23"/>
      <c r="W21" s="23"/>
    </row>
    <row r="22" spans="1:23" ht="12.75">
      <c r="A22" s="27">
        <v>2719</v>
      </c>
      <c r="B22" s="27" t="s">
        <v>67</v>
      </c>
      <c r="C22" s="27">
        <v>888</v>
      </c>
      <c r="D22" s="27">
        <v>1015</v>
      </c>
      <c r="E22" s="27">
        <v>2180</v>
      </c>
      <c r="F22" s="27">
        <v>240</v>
      </c>
      <c r="G22" s="27">
        <v>44</v>
      </c>
      <c r="H22" s="27">
        <v>8170</v>
      </c>
      <c r="I22" s="27"/>
      <c r="J22" s="27">
        <f t="shared" si="4"/>
        <v>1128</v>
      </c>
      <c r="K22" s="27">
        <f t="shared" si="5"/>
        <v>11409</v>
      </c>
      <c r="L22" s="23"/>
      <c r="M22" s="23"/>
      <c r="N22" s="23"/>
      <c r="O22" s="23"/>
      <c r="P22" s="23"/>
      <c r="Q22" s="23"/>
      <c r="R22" s="23"/>
      <c r="S22" s="23"/>
      <c r="T22" s="23"/>
      <c r="U22" s="23"/>
      <c r="V22" s="23"/>
      <c r="W22" s="23"/>
    </row>
    <row r="23" spans="1:23" ht="12.75">
      <c r="A23" s="27">
        <v>2719</v>
      </c>
      <c r="B23" s="27" t="s">
        <v>68</v>
      </c>
      <c r="C23" s="27">
        <v>1073</v>
      </c>
      <c r="D23" s="27">
        <v>1118</v>
      </c>
      <c r="E23" s="27">
        <v>1579</v>
      </c>
      <c r="F23" s="27">
        <v>255</v>
      </c>
      <c r="G23" s="27">
        <v>44</v>
      </c>
      <c r="H23" s="27">
        <v>8170</v>
      </c>
      <c r="I23" s="27"/>
      <c r="J23" s="27">
        <f t="shared" si="4"/>
        <v>1328</v>
      </c>
      <c r="K23" s="27">
        <f t="shared" si="5"/>
        <v>10911</v>
      </c>
      <c r="L23" s="23"/>
      <c r="M23" s="23"/>
      <c r="N23" s="23"/>
      <c r="O23" s="23"/>
      <c r="P23" s="23"/>
      <c r="Q23" s="23"/>
      <c r="R23" s="23"/>
      <c r="S23" s="23"/>
      <c r="T23" s="23"/>
      <c r="U23" s="23"/>
      <c r="V23" s="23"/>
      <c r="W23" s="23"/>
    </row>
    <row r="24" spans="1:23" ht="12.75">
      <c r="A24" s="27">
        <v>2719</v>
      </c>
      <c r="B24" s="27" t="s">
        <v>69</v>
      </c>
      <c r="C24" s="27">
        <v>1394</v>
      </c>
      <c r="D24" s="27">
        <v>1272</v>
      </c>
      <c r="E24" s="27">
        <v>1299</v>
      </c>
      <c r="F24" s="27">
        <v>263</v>
      </c>
      <c r="G24" s="27">
        <v>44</v>
      </c>
      <c r="H24" s="27">
        <v>11890</v>
      </c>
      <c r="I24" s="27"/>
      <c r="J24" s="27">
        <f t="shared" si="4"/>
        <v>1657</v>
      </c>
      <c r="K24" s="27">
        <f t="shared" si="5"/>
        <v>14505</v>
      </c>
      <c r="L24" s="23"/>
      <c r="M24" s="23"/>
      <c r="N24" s="23"/>
      <c r="O24" s="23"/>
      <c r="P24" s="23"/>
      <c r="Q24" s="23"/>
      <c r="R24" s="23"/>
      <c r="S24" s="23"/>
      <c r="T24" s="23"/>
      <c r="U24" s="23"/>
      <c r="V24" s="23"/>
      <c r="W24" s="23"/>
    </row>
    <row r="25" spans="1:23" ht="12.75">
      <c r="A25" s="27">
        <v>2719</v>
      </c>
      <c r="B25" s="27" t="s">
        <v>70</v>
      </c>
      <c r="C25" s="27">
        <v>1363</v>
      </c>
      <c r="D25" s="27">
        <v>1219</v>
      </c>
      <c r="E25" s="27">
        <v>1089</v>
      </c>
      <c r="F25" s="27">
        <v>262</v>
      </c>
      <c r="G25" s="27">
        <v>44</v>
      </c>
      <c r="H25" s="27">
        <v>11890</v>
      </c>
      <c r="I25" s="27"/>
      <c r="J25" s="27">
        <f t="shared" si="4"/>
        <v>1625</v>
      </c>
      <c r="K25" s="27">
        <f t="shared" si="5"/>
        <v>14242</v>
      </c>
      <c r="L25" s="23"/>
      <c r="M25" s="23"/>
      <c r="N25" s="23"/>
      <c r="O25" s="23"/>
      <c r="P25" s="23"/>
      <c r="Q25" s="23"/>
      <c r="R25" s="23"/>
      <c r="S25" s="23"/>
      <c r="T25" s="23"/>
      <c r="U25" s="23"/>
      <c r="V25" s="23"/>
      <c r="W25" s="23"/>
    </row>
    <row r="26" spans="1:23" ht="12.75">
      <c r="A26" s="27">
        <v>2719</v>
      </c>
      <c r="B26" s="27" t="s">
        <v>71</v>
      </c>
      <c r="C26" s="27">
        <v>1224</v>
      </c>
      <c r="D26" s="27">
        <v>1143</v>
      </c>
      <c r="E26" s="27">
        <v>1690</v>
      </c>
      <c r="F26" s="27">
        <v>255</v>
      </c>
      <c r="G26" s="27">
        <v>44</v>
      </c>
      <c r="H26" s="27">
        <v>11890</v>
      </c>
      <c r="I26" s="27"/>
      <c r="J26" s="27">
        <f t="shared" si="4"/>
        <v>1479</v>
      </c>
      <c r="K26" s="27">
        <f t="shared" si="5"/>
        <v>14767</v>
      </c>
      <c r="L26" s="23"/>
      <c r="M26" s="23"/>
      <c r="N26" s="23"/>
      <c r="O26" s="23"/>
      <c r="P26" s="23"/>
      <c r="Q26" s="23"/>
      <c r="R26" s="23"/>
      <c r="S26" s="23"/>
      <c r="T26" s="23"/>
      <c r="U26" s="23"/>
      <c r="V26" s="23"/>
      <c r="W26" s="23"/>
    </row>
    <row r="27" spans="1:23" ht="12.75">
      <c r="A27" s="27"/>
      <c r="B27" s="27"/>
      <c r="C27" s="27"/>
      <c r="D27" s="27"/>
      <c r="E27" s="27"/>
      <c r="F27" s="27"/>
      <c r="G27" s="27"/>
      <c r="H27" s="27"/>
      <c r="I27" s="27"/>
      <c r="J27" s="27"/>
      <c r="K27" s="27"/>
      <c r="L27" s="23"/>
      <c r="M27" s="23"/>
      <c r="N27" s="23"/>
      <c r="O27" s="23"/>
      <c r="P27" s="23"/>
      <c r="Q27" s="23"/>
      <c r="R27" s="23"/>
      <c r="S27" s="23"/>
      <c r="T27" s="23"/>
      <c r="U27" s="23"/>
      <c r="V27" s="23"/>
      <c r="W27" s="23"/>
    </row>
    <row r="28" spans="1:23" ht="12.75">
      <c r="A28" s="27">
        <v>3159</v>
      </c>
      <c r="B28" s="27" t="s">
        <v>6</v>
      </c>
      <c r="C28" s="27">
        <v>845</v>
      </c>
      <c r="D28" s="27">
        <v>1077</v>
      </c>
      <c r="E28" s="27">
        <v>1688</v>
      </c>
      <c r="F28" s="27">
        <v>232</v>
      </c>
      <c r="G28" s="27">
        <v>44</v>
      </c>
      <c r="H28" s="27">
        <v>9373</v>
      </c>
      <c r="I28" s="27"/>
      <c r="J28" s="27">
        <f aca="true" t="shared" si="6" ref="J28:J38">C28+F28</f>
        <v>1077</v>
      </c>
      <c r="K28" s="27">
        <f aca="true" t="shared" si="7" ref="K28:K38">D28+E28+G28+H28</f>
        <v>12182</v>
      </c>
      <c r="L28" s="23"/>
      <c r="M28" s="23"/>
      <c r="N28" s="23"/>
      <c r="O28" s="23"/>
      <c r="P28" s="23"/>
      <c r="Q28" s="23"/>
      <c r="R28" s="23"/>
      <c r="S28" s="23"/>
      <c r="T28" s="23"/>
      <c r="U28" s="23"/>
      <c r="V28" s="23"/>
      <c r="W28" s="23"/>
    </row>
    <row r="29" spans="1:23" ht="12.75">
      <c r="A29" s="27">
        <v>3159</v>
      </c>
      <c r="B29" s="27" t="s">
        <v>62</v>
      </c>
      <c r="C29" s="27">
        <v>880</v>
      </c>
      <c r="D29" s="27">
        <v>1065</v>
      </c>
      <c r="E29" s="27">
        <v>2221</v>
      </c>
      <c r="F29" s="27">
        <v>232</v>
      </c>
      <c r="G29" s="27">
        <v>44</v>
      </c>
      <c r="H29" s="27">
        <v>9373</v>
      </c>
      <c r="I29" s="27"/>
      <c r="J29" s="27">
        <f t="shared" si="6"/>
        <v>1112</v>
      </c>
      <c r="K29" s="27">
        <f t="shared" si="7"/>
        <v>12703</v>
      </c>
      <c r="L29" s="23"/>
      <c r="M29" s="23"/>
      <c r="N29" s="23"/>
      <c r="O29" s="23"/>
      <c r="P29" s="23"/>
      <c r="Q29" s="23"/>
      <c r="R29" s="23"/>
      <c r="S29" s="23"/>
      <c r="T29" s="23"/>
      <c r="U29" s="23"/>
      <c r="V29" s="23"/>
      <c r="W29" s="23"/>
    </row>
    <row r="30" spans="1:23" ht="12.75">
      <c r="A30" s="27">
        <v>3159</v>
      </c>
      <c r="B30" s="27" t="s">
        <v>63</v>
      </c>
      <c r="C30" s="27">
        <v>1138</v>
      </c>
      <c r="D30" s="27">
        <v>1334</v>
      </c>
      <c r="E30" s="27">
        <v>1632</v>
      </c>
      <c r="F30" s="27">
        <v>247</v>
      </c>
      <c r="G30" s="27">
        <v>44</v>
      </c>
      <c r="H30" s="27">
        <v>9373</v>
      </c>
      <c r="I30" s="27"/>
      <c r="J30" s="27">
        <f t="shared" si="6"/>
        <v>1385</v>
      </c>
      <c r="K30" s="27">
        <f t="shared" si="7"/>
        <v>12383</v>
      </c>
      <c r="L30" s="23"/>
      <c r="M30" s="23"/>
      <c r="N30" s="23"/>
      <c r="O30" s="23"/>
      <c r="P30" s="23"/>
      <c r="Q30" s="23"/>
      <c r="R30" s="23"/>
      <c r="S30" s="23"/>
      <c r="T30" s="23"/>
      <c r="U30" s="23"/>
      <c r="V30" s="23"/>
      <c r="W30" s="23"/>
    </row>
    <row r="31" spans="1:23" ht="12.75">
      <c r="A31" s="27">
        <v>3159</v>
      </c>
      <c r="B31" s="27" t="s">
        <v>64</v>
      </c>
      <c r="C31" s="27">
        <v>832</v>
      </c>
      <c r="D31" s="27">
        <v>1190</v>
      </c>
      <c r="E31" s="27">
        <v>1260</v>
      </c>
      <c r="F31" s="27">
        <v>233</v>
      </c>
      <c r="G31" s="27">
        <v>44</v>
      </c>
      <c r="H31" s="27">
        <v>9461</v>
      </c>
      <c r="I31" s="27"/>
      <c r="J31" s="27">
        <f t="shared" si="6"/>
        <v>1065</v>
      </c>
      <c r="K31" s="27">
        <f t="shared" si="7"/>
        <v>11955</v>
      </c>
      <c r="L31" s="23"/>
      <c r="M31" s="23"/>
      <c r="N31" s="23"/>
      <c r="O31" s="23"/>
      <c r="P31" s="23"/>
      <c r="Q31" s="23"/>
      <c r="R31" s="23"/>
      <c r="S31" s="23"/>
      <c r="T31" s="23"/>
      <c r="U31" s="23"/>
      <c r="V31" s="23"/>
      <c r="W31" s="23"/>
    </row>
    <row r="32" spans="1:23" ht="12.75">
      <c r="A32" s="27">
        <v>3159</v>
      </c>
      <c r="B32" s="27" t="s">
        <v>65</v>
      </c>
      <c r="C32" s="27">
        <v>1279</v>
      </c>
      <c r="D32" s="27">
        <v>1362</v>
      </c>
      <c r="E32" s="27">
        <v>1799</v>
      </c>
      <c r="F32" s="27">
        <v>252</v>
      </c>
      <c r="G32" s="27">
        <v>44</v>
      </c>
      <c r="H32" s="27">
        <v>9461</v>
      </c>
      <c r="I32" s="27"/>
      <c r="J32" s="27">
        <f t="shared" si="6"/>
        <v>1531</v>
      </c>
      <c r="K32" s="27">
        <f t="shared" si="7"/>
        <v>12666</v>
      </c>
      <c r="L32" s="23"/>
      <c r="M32" s="23"/>
      <c r="N32" s="23"/>
      <c r="O32" s="23"/>
      <c r="P32" s="23"/>
      <c r="Q32" s="23"/>
      <c r="R32" s="23"/>
      <c r="S32" s="23"/>
      <c r="T32" s="23"/>
      <c r="U32" s="23"/>
      <c r="V32" s="23"/>
      <c r="W32" s="23"/>
    </row>
    <row r="33" spans="1:23" ht="12.75">
      <c r="A33" s="27">
        <v>3159</v>
      </c>
      <c r="B33" s="27" t="s">
        <v>66</v>
      </c>
      <c r="C33" s="27">
        <v>1115</v>
      </c>
      <c r="D33" s="27">
        <v>1258</v>
      </c>
      <c r="E33" s="27">
        <v>2079</v>
      </c>
      <c r="F33" s="27">
        <v>244</v>
      </c>
      <c r="G33" s="27">
        <v>44</v>
      </c>
      <c r="H33" s="27">
        <v>9461</v>
      </c>
      <c r="I33" s="27"/>
      <c r="J33" s="27">
        <f t="shared" si="6"/>
        <v>1359</v>
      </c>
      <c r="K33" s="27">
        <f t="shared" si="7"/>
        <v>12842</v>
      </c>
      <c r="L33" s="23"/>
      <c r="M33" s="23"/>
      <c r="N33" s="23"/>
      <c r="O33" s="23"/>
      <c r="P33" s="23"/>
      <c r="Q33" s="23"/>
      <c r="R33" s="23"/>
      <c r="S33" s="23"/>
      <c r="T33" s="23"/>
      <c r="U33" s="23"/>
      <c r="V33" s="23"/>
      <c r="W33" s="23"/>
    </row>
    <row r="34" spans="1:23" ht="12.75">
      <c r="A34" s="27">
        <v>3159</v>
      </c>
      <c r="B34" s="27" t="s">
        <v>67</v>
      </c>
      <c r="C34" s="27">
        <v>1121</v>
      </c>
      <c r="D34" s="27">
        <v>1173</v>
      </c>
      <c r="E34" s="27">
        <v>2614</v>
      </c>
      <c r="F34" s="27">
        <v>240</v>
      </c>
      <c r="G34" s="27">
        <v>44</v>
      </c>
      <c r="H34" s="27">
        <v>9373</v>
      </c>
      <c r="I34" s="27"/>
      <c r="J34" s="27">
        <f t="shared" si="6"/>
        <v>1361</v>
      </c>
      <c r="K34" s="27">
        <f t="shared" si="7"/>
        <v>13204</v>
      </c>
      <c r="L34" s="23"/>
      <c r="M34" s="23"/>
      <c r="N34" s="23"/>
      <c r="O34" s="23"/>
      <c r="P34" s="23"/>
      <c r="Q34" s="23"/>
      <c r="R34" s="23"/>
      <c r="S34" s="23"/>
      <c r="T34" s="23"/>
      <c r="U34" s="23"/>
      <c r="V34" s="23"/>
      <c r="W34" s="23"/>
    </row>
    <row r="35" spans="1:23" ht="12.75">
      <c r="A35" s="27">
        <v>3159</v>
      </c>
      <c r="B35" s="27" t="s">
        <v>68</v>
      </c>
      <c r="C35" s="27">
        <v>1355</v>
      </c>
      <c r="D35" s="27">
        <v>1368</v>
      </c>
      <c r="E35" s="27">
        <v>1877</v>
      </c>
      <c r="F35" s="27">
        <v>255</v>
      </c>
      <c r="G35" s="27">
        <v>44</v>
      </c>
      <c r="H35" s="27">
        <v>9373</v>
      </c>
      <c r="I35" s="27"/>
      <c r="J35" s="27">
        <f t="shared" si="6"/>
        <v>1610</v>
      </c>
      <c r="K35" s="27">
        <f t="shared" si="7"/>
        <v>12662</v>
      </c>
      <c r="L35" s="23"/>
      <c r="M35" s="23"/>
      <c r="N35" s="23"/>
      <c r="O35" s="23"/>
      <c r="P35" s="23"/>
      <c r="Q35" s="23"/>
      <c r="R35" s="23"/>
      <c r="S35" s="23"/>
      <c r="T35" s="23"/>
      <c r="U35" s="23"/>
      <c r="V35" s="23"/>
      <c r="W35" s="23"/>
    </row>
    <row r="36" spans="1:23" ht="12.75">
      <c r="A36" s="27">
        <v>3159</v>
      </c>
      <c r="B36" s="27" t="s">
        <v>69</v>
      </c>
      <c r="C36" s="27">
        <v>1698</v>
      </c>
      <c r="D36" s="27">
        <v>1554</v>
      </c>
      <c r="E36" s="27">
        <v>1579</v>
      </c>
      <c r="F36" s="27">
        <v>263</v>
      </c>
      <c r="G36" s="27">
        <v>44</v>
      </c>
      <c r="H36" s="27">
        <v>12828</v>
      </c>
      <c r="I36" s="27"/>
      <c r="J36" s="27">
        <f t="shared" si="6"/>
        <v>1961</v>
      </c>
      <c r="K36" s="27">
        <f t="shared" si="7"/>
        <v>16005</v>
      </c>
      <c r="L36" s="23"/>
      <c r="M36" s="23"/>
      <c r="N36" s="23"/>
      <c r="O36" s="23"/>
      <c r="P36" s="23"/>
      <c r="Q36" s="23"/>
      <c r="R36" s="23"/>
      <c r="S36" s="23"/>
      <c r="T36" s="23"/>
      <c r="U36" s="23"/>
      <c r="V36" s="23"/>
      <c r="W36" s="23"/>
    </row>
    <row r="37" spans="1:23" ht="12.75">
      <c r="A37" s="27">
        <v>3159</v>
      </c>
      <c r="B37" s="27" t="s">
        <v>70</v>
      </c>
      <c r="C37" s="27">
        <v>1670</v>
      </c>
      <c r="D37" s="27">
        <v>1546</v>
      </c>
      <c r="E37" s="27">
        <v>1321</v>
      </c>
      <c r="F37" s="27">
        <v>262</v>
      </c>
      <c r="G37" s="27">
        <v>44</v>
      </c>
      <c r="H37" s="27">
        <v>12828</v>
      </c>
      <c r="I37" s="27"/>
      <c r="J37" s="27">
        <f t="shared" si="6"/>
        <v>1932</v>
      </c>
      <c r="K37" s="27">
        <f t="shared" si="7"/>
        <v>15739</v>
      </c>
      <c r="L37" s="23"/>
      <c r="M37" s="23"/>
      <c r="N37" s="23"/>
      <c r="O37" s="23"/>
      <c r="P37" s="23"/>
      <c r="Q37" s="23"/>
      <c r="R37" s="23"/>
      <c r="S37" s="23"/>
      <c r="T37" s="23"/>
      <c r="U37" s="23"/>
      <c r="V37" s="23"/>
      <c r="W37" s="23"/>
    </row>
    <row r="38" spans="1:23" ht="12.75">
      <c r="A38" s="27">
        <v>3159</v>
      </c>
      <c r="B38" s="27" t="s">
        <v>71</v>
      </c>
      <c r="C38" s="27">
        <v>1492</v>
      </c>
      <c r="D38" s="27">
        <v>1398</v>
      </c>
      <c r="E38" s="27">
        <v>2053</v>
      </c>
      <c r="F38" s="27">
        <v>255</v>
      </c>
      <c r="G38" s="27">
        <v>44</v>
      </c>
      <c r="H38" s="27">
        <v>12828</v>
      </c>
      <c r="I38" s="27"/>
      <c r="J38" s="27">
        <f t="shared" si="6"/>
        <v>1747</v>
      </c>
      <c r="K38" s="27">
        <f t="shared" si="7"/>
        <v>16323</v>
      </c>
      <c r="L38" s="23"/>
      <c r="M38" s="23"/>
      <c r="N38" s="23"/>
      <c r="O38" s="23"/>
      <c r="P38" s="23"/>
      <c r="Q38" s="23"/>
      <c r="R38" s="23"/>
      <c r="S38" s="23"/>
      <c r="T38" s="23"/>
      <c r="U38" s="23"/>
      <c r="V38" s="23"/>
      <c r="W38" s="23"/>
    </row>
    <row r="39" spans="1:23" ht="13.5" thickBot="1">
      <c r="A39" s="23"/>
      <c r="B39" s="23"/>
      <c r="C39" s="23"/>
      <c r="D39" s="23"/>
      <c r="E39" s="23"/>
      <c r="F39" s="23"/>
      <c r="G39" s="23"/>
      <c r="H39" s="23"/>
      <c r="I39" s="23"/>
      <c r="J39" s="23"/>
      <c r="K39" s="23"/>
      <c r="L39" s="23"/>
      <c r="M39" s="23"/>
      <c r="N39" s="23"/>
      <c r="O39" s="23"/>
      <c r="P39" s="23"/>
      <c r="Q39" s="23"/>
      <c r="R39" s="23"/>
      <c r="S39" s="23"/>
      <c r="T39" s="23"/>
      <c r="U39" s="23"/>
      <c r="V39" s="23"/>
      <c r="W39" s="23"/>
    </row>
    <row r="40" spans="1:23" ht="39" thickBot="1">
      <c r="A40" s="19" t="s">
        <v>133</v>
      </c>
      <c r="B40" s="20"/>
      <c r="C40" s="21" t="s">
        <v>117</v>
      </c>
      <c r="D40" s="21" t="s">
        <v>118</v>
      </c>
      <c r="E40" s="21" t="s">
        <v>134</v>
      </c>
      <c r="F40" s="71" t="s">
        <v>121</v>
      </c>
      <c r="G40" s="23"/>
      <c r="H40" s="23"/>
      <c r="I40" s="23"/>
      <c r="J40" s="23"/>
      <c r="K40" s="23"/>
      <c r="L40" s="23"/>
      <c r="M40" s="23"/>
      <c r="N40" s="23"/>
      <c r="O40" s="23"/>
      <c r="P40" s="23"/>
      <c r="Q40" s="23"/>
      <c r="R40" s="23"/>
      <c r="S40" s="23"/>
      <c r="T40" s="23"/>
      <c r="U40" s="23"/>
      <c r="V40" s="23"/>
      <c r="W40" s="23"/>
    </row>
    <row r="41" spans="1:23" ht="12.75">
      <c r="A41" s="27">
        <v>1219</v>
      </c>
      <c r="B41" s="27" t="s">
        <v>6</v>
      </c>
      <c r="C41" s="27">
        <v>3219</v>
      </c>
      <c r="D41" s="27">
        <v>855</v>
      </c>
      <c r="E41" s="27">
        <v>3817</v>
      </c>
      <c r="F41" s="27">
        <v>5354</v>
      </c>
      <c r="G41" s="23"/>
      <c r="H41" s="23"/>
      <c r="I41" s="23"/>
      <c r="J41" s="23"/>
      <c r="K41" s="23">
        <f aca="true" t="shared" si="8" ref="K41:K51">SUM(C41:F41)</f>
        <v>13245</v>
      </c>
      <c r="L41" s="23"/>
      <c r="M41" s="23"/>
      <c r="N41" s="23"/>
      <c r="O41" s="23"/>
      <c r="P41" s="23"/>
      <c r="Q41" s="23"/>
      <c r="R41" s="23"/>
      <c r="S41" s="23"/>
      <c r="T41" s="23"/>
      <c r="U41" s="23"/>
      <c r="V41" s="23"/>
      <c r="W41" s="23"/>
    </row>
    <row r="42" spans="1:23" ht="12.75">
      <c r="A42" s="27">
        <v>1219</v>
      </c>
      <c r="B42" s="27" t="s">
        <v>62</v>
      </c>
      <c r="C42" s="27">
        <v>3673</v>
      </c>
      <c r="D42" s="27">
        <v>1150</v>
      </c>
      <c r="E42" s="27">
        <v>3816</v>
      </c>
      <c r="F42" s="27">
        <v>5354</v>
      </c>
      <c r="G42" s="23"/>
      <c r="H42" s="23"/>
      <c r="I42" s="23"/>
      <c r="J42" s="23"/>
      <c r="K42" s="23">
        <f t="shared" si="8"/>
        <v>13993</v>
      </c>
      <c r="L42" s="23"/>
      <c r="M42" s="23"/>
      <c r="N42" s="23"/>
      <c r="O42" s="23"/>
      <c r="P42" s="23"/>
      <c r="Q42" s="23"/>
      <c r="R42" s="23"/>
      <c r="S42" s="23"/>
      <c r="T42" s="23"/>
      <c r="U42" s="23"/>
      <c r="V42" s="23"/>
      <c r="W42" s="23"/>
    </row>
    <row r="43" spans="1:23" ht="12.75">
      <c r="A43" s="27">
        <v>1219</v>
      </c>
      <c r="B43" s="27" t="s">
        <v>63</v>
      </c>
      <c r="C43" s="27">
        <v>5770</v>
      </c>
      <c r="D43" s="27">
        <v>847</v>
      </c>
      <c r="E43" s="27">
        <v>4063</v>
      </c>
      <c r="F43" s="27">
        <v>5354</v>
      </c>
      <c r="G43" s="23"/>
      <c r="H43" s="23"/>
      <c r="I43" s="23"/>
      <c r="J43" s="23"/>
      <c r="K43" s="23">
        <f t="shared" si="8"/>
        <v>16034</v>
      </c>
      <c r="L43" s="23"/>
      <c r="M43" s="23"/>
      <c r="N43" s="23"/>
      <c r="O43" s="23"/>
      <c r="P43" s="23"/>
      <c r="Q43" s="23"/>
      <c r="R43" s="23"/>
      <c r="S43" s="23"/>
      <c r="T43" s="23"/>
      <c r="U43" s="23"/>
      <c r="V43" s="23"/>
      <c r="W43" s="23"/>
    </row>
    <row r="44" spans="1:23" ht="12.75">
      <c r="A44" s="27">
        <v>1219</v>
      </c>
      <c r="B44" s="27" t="s">
        <v>64</v>
      </c>
      <c r="C44" s="27">
        <v>3113</v>
      </c>
      <c r="D44" s="27">
        <v>666</v>
      </c>
      <c r="E44" s="27">
        <v>3822</v>
      </c>
      <c r="F44" s="27">
        <v>5365</v>
      </c>
      <c r="G44" s="23"/>
      <c r="H44" s="23"/>
      <c r="I44" s="23"/>
      <c r="J44" s="23"/>
      <c r="K44" s="23">
        <f t="shared" si="8"/>
        <v>12966</v>
      </c>
      <c r="L44" s="23"/>
      <c r="M44" s="23"/>
      <c r="N44" s="23"/>
      <c r="O44" s="23"/>
      <c r="P44" s="23"/>
      <c r="Q44" s="23"/>
      <c r="R44" s="23"/>
      <c r="S44" s="23"/>
      <c r="T44" s="23"/>
      <c r="U44" s="23"/>
      <c r="V44" s="23"/>
      <c r="W44" s="23"/>
    </row>
    <row r="45" spans="1:23" ht="12.75">
      <c r="A45" s="27">
        <v>1219</v>
      </c>
      <c r="B45" s="27" t="s">
        <v>65</v>
      </c>
      <c r="C45" s="27">
        <v>6659</v>
      </c>
      <c r="D45" s="27">
        <v>936</v>
      </c>
      <c r="E45" s="27">
        <v>4128</v>
      </c>
      <c r="F45" s="27">
        <v>5365</v>
      </c>
      <c r="G45" s="23"/>
      <c r="H45" s="23"/>
      <c r="I45" s="23"/>
      <c r="J45" s="23"/>
      <c r="K45" s="23">
        <f t="shared" si="8"/>
        <v>17088</v>
      </c>
      <c r="L45" s="23"/>
      <c r="M45" s="23"/>
      <c r="N45" s="23"/>
      <c r="O45" s="23"/>
      <c r="P45" s="23"/>
      <c r="Q45" s="23"/>
      <c r="R45" s="23"/>
      <c r="S45" s="23"/>
      <c r="T45" s="23"/>
      <c r="U45" s="23"/>
      <c r="V45" s="23"/>
      <c r="W45" s="23"/>
    </row>
    <row r="46" spans="1:23" ht="12.75">
      <c r="A46" s="27">
        <v>1219</v>
      </c>
      <c r="B46" s="27" t="s">
        <v>66</v>
      </c>
      <c r="C46" s="27">
        <v>5580</v>
      </c>
      <c r="D46" s="27">
        <v>1065</v>
      </c>
      <c r="E46" s="27">
        <v>4004</v>
      </c>
      <c r="F46" s="27">
        <v>5365</v>
      </c>
      <c r="G46" s="23"/>
      <c r="H46" s="23"/>
      <c r="I46" s="23"/>
      <c r="J46" s="23"/>
      <c r="K46" s="23">
        <f t="shared" si="8"/>
        <v>16014</v>
      </c>
      <c r="L46" s="23"/>
      <c r="M46" s="23"/>
      <c r="N46" s="23"/>
      <c r="O46" s="23"/>
      <c r="P46" s="23"/>
      <c r="Q46" s="23"/>
      <c r="R46" s="23"/>
      <c r="S46" s="23"/>
      <c r="T46" s="23"/>
      <c r="U46" s="23"/>
      <c r="V46" s="23"/>
      <c r="W46" s="23"/>
    </row>
    <row r="47" spans="1:23" ht="12.75">
      <c r="A47" s="27">
        <v>1219</v>
      </c>
      <c r="B47" s="27" t="s">
        <v>67</v>
      </c>
      <c r="C47" s="27">
        <v>5839</v>
      </c>
      <c r="D47" s="27">
        <v>1332</v>
      </c>
      <c r="E47" s="27">
        <v>3942</v>
      </c>
      <c r="F47" s="27">
        <v>5354</v>
      </c>
      <c r="G47" s="23"/>
      <c r="H47" s="23"/>
      <c r="I47" s="23"/>
      <c r="J47" s="23"/>
      <c r="K47" s="23">
        <f t="shared" si="8"/>
        <v>16467</v>
      </c>
      <c r="L47" s="23"/>
      <c r="M47" s="23"/>
      <c r="N47" s="23"/>
      <c r="O47" s="23"/>
      <c r="P47" s="23"/>
      <c r="Q47" s="23"/>
      <c r="R47" s="23"/>
      <c r="S47" s="23"/>
      <c r="T47" s="23"/>
      <c r="U47" s="23"/>
      <c r="V47" s="23"/>
      <c r="W47" s="23"/>
    </row>
    <row r="48" spans="1:23" ht="12.75">
      <c r="A48" s="27">
        <v>1219</v>
      </c>
      <c r="B48" s="27" t="s">
        <v>68</v>
      </c>
      <c r="C48" s="27">
        <v>7864</v>
      </c>
      <c r="D48" s="27">
        <v>1000</v>
      </c>
      <c r="E48" s="27">
        <v>4187</v>
      </c>
      <c r="F48" s="27">
        <v>5354</v>
      </c>
      <c r="G48" s="23"/>
      <c r="H48" s="23"/>
      <c r="I48" s="23"/>
      <c r="J48" s="23"/>
      <c r="K48" s="23">
        <f t="shared" si="8"/>
        <v>18405</v>
      </c>
      <c r="L48" s="23"/>
      <c r="M48" s="23"/>
      <c r="N48" s="23"/>
      <c r="O48" s="23"/>
      <c r="P48" s="23"/>
      <c r="Q48" s="23"/>
      <c r="R48" s="23"/>
      <c r="S48" s="23"/>
      <c r="T48" s="23"/>
      <c r="U48" s="23"/>
      <c r="V48" s="23"/>
      <c r="W48" s="23"/>
    </row>
    <row r="49" spans="1:23" ht="12.75">
      <c r="A49" s="27">
        <v>1219</v>
      </c>
      <c r="B49" s="27" t="s">
        <v>69</v>
      </c>
      <c r="C49" s="27">
        <v>9861</v>
      </c>
      <c r="D49" s="27">
        <v>831</v>
      </c>
      <c r="E49" s="27">
        <v>4310</v>
      </c>
      <c r="F49" s="27">
        <v>5354</v>
      </c>
      <c r="G49" s="23"/>
      <c r="H49" s="23"/>
      <c r="I49" s="23"/>
      <c r="J49" s="23"/>
      <c r="K49" s="23">
        <f t="shared" si="8"/>
        <v>20356</v>
      </c>
      <c r="L49" s="23"/>
      <c r="M49" s="23"/>
      <c r="N49" s="23"/>
      <c r="O49" s="23"/>
      <c r="P49" s="23"/>
      <c r="Q49" s="23"/>
      <c r="R49" s="23"/>
      <c r="S49" s="23"/>
      <c r="T49" s="23"/>
      <c r="U49" s="23"/>
      <c r="V49" s="23"/>
      <c r="W49" s="23"/>
    </row>
    <row r="50" spans="1:23" ht="12.75">
      <c r="A50" s="27">
        <v>1219</v>
      </c>
      <c r="B50" s="27" t="s">
        <v>70</v>
      </c>
      <c r="C50" s="27">
        <v>8743</v>
      </c>
      <c r="D50" s="27">
        <v>716</v>
      </c>
      <c r="E50" s="27">
        <v>4307</v>
      </c>
      <c r="F50" s="27">
        <v>5354</v>
      </c>
      <c r="G50" s="23"/>
      <c r="H50" s="23"/>
      <c r="I50" s="23"/>
      <c r="J50" s="23"/>
      <c r="K50" s="23">
        <f t="shared" si="8"/>
        <v>19120</v>
      </c>
      <c r="L50" s="23"/>
      <c r="M50" s="23"/>
      <c r="N50" s="23"/>
      <c r="O50" s="23"/>
      <c r="P50" s="23"/>
      <c r="Q50" s="23"/>
      <c r="R50" s="23"/>
      <c r="S50" s="23"/>
      <c r="T50" s="23"/>
      <c r="U50" s="23"/>
      <c r="V50" s="23"/>
      <c r="W50" s="23"/>
    </row>
    <row r="51" spans="1:23" ht="12.75">
      <c r="A51" s="27">
        <v>1219</v>
      </c>
      <c r="B51" s="27" t="s">
        <v>71</v>
      </c>
      <c r="C51" s="27">
        <v>8378</v>
      </c>
      <c r="D51" s="27">
        <v>1057</v>
      </c>
      <c r="E51" s="27">
        <v>4183</v>
      </c>
      <c r="F51" s="27">
        <v>5354</v>
      </c>
      <c r="G51" s="23"/>
      <c r="H51" s="23"/>
      <c r="I51" s="23"/>
      <c r="J51" s="23"/>
      <c r="K51" s="23">
        <f t="shared" si="8"/>
        <v>18972</v>
      </c>
      <c r="L51" s="23"/>
      <c r="M51" s="23"/>
      <c r="N51" s="23"/>
      <c r="O51" s="23"/>
      <c r="P51" s="23"/>
      <c r="Q51" s="23"/>
      <c r="R51" s="23"/>
      <c r="S51" s="23"/>
      <c r="T51" s="23"/>
      <c r="U51" s="23"/>
      <c r="V51" s="23"/>
      <c r="W51" s="23"/>
    </row>
    <row r="52" spans="1:23" ht="12.75">
      <c r="A52" s="27"/>
      <c r="B52" s="27"/>
      <c r="C52" s="27"/>
      <c r="D52" s="27"/>
      <c r="E52" s="27"/>
      <c r="F52" s="27"/>
      <c r="G52" s="23"/>
      <c r="H52" s="23"/>
      <c r="I52" s="23"/>
      <c r="J52" s="23"/>
      <c r="K52" s="23"/>
      <c r="L52" s="23"/>
      <c r="M52" s="23"/>
      <c r="N52" s="23"/>
      <c r="O52" s="23"/>
      <c r="P52" s="23"/>
      <c r="Q52" s="23"/>
      <c r="R52" s="23"/>
      <c r="S52" s="23"/>
      <c r="T52" s="23"/>
      <c r="U52" s="23"/>
      <c r="V52" s="23"/>
      <c r="W52" s="23"/>
    </row>
    <row r="53" spans="1:23" ht="12.75">
      <c r="A53" s="27">
        <v>2719</v>
      </c>
      <c r="B53" s="27" t="s">
        <v>6</v>
      </c>
      <c r="C53" s="27">
        <v>6988</v>
      </c>
      <c r="D53" s="27">
        <v>1445</v>
      </c>
      <c r="E53" s="27">
        <v>4380</v>
      </c>
      <c r="F53" s="27">
        <v>9453</v>
      </c>
      <c r="G53" s="23"/>
      <c r="H53" s="23"/>
      <c r="I53" s="23"/>
      <c r="J53" s="23"/>
      <c r="K53" s="23">
        <f aca="true" t="shared" si="9" ref="K53:K63">SUM(C53:F53)</f>
        <v>22266</v>
      </c>
      <c r="L53" s="23"/>
      <c r="M53" s="23"/>
      <c r="N53" s="23"/>
      <c r="O53" s="23"/>
      <c r="P53" s="23"/>
      <c r="Q53" s="23"/>
      <c r="R53" s="23"/>
      <c r="S53" s="23"/>
      <c r="T53" s="23"/>
      <c r="U53" s="23"/>
      <c r="V53" s="23"/>
      <c r="W53" s="23"/>
    </row>
    <row r="54" spans="1:23" ht="12.75">
      <c r="A54" s="27">
        <v>2719</v>
      </c>
      <c r="B54" s="27" t="s">
        <v>62</v>
      </c>
      <c r="C54" s="27">
        <v>7620</v>
      </c>
      <c r="D54" s="27">
        <v>1855</v>
      </c>
      <c r="E54" s="27">
        <v>4378</v>
      </c>
      <c r="F54" s="27">
        <v>9453</v>
      </c>
      <c r="G54" s="23"/>
      <c r="H54" s="23"/>
      <c r="I54" s="23"/>
      <c r="J54" s="23"/>
      <c r="K54" s="23">
        <f t="shared" si="9"/>
        <v>23306</v>
      </c>
      <c r="L54" s="23"/>
      <c r="M54" s="23"/>
      <c r="N54" s="23"/>
      <c r="O54" s="23"/>
      <c r="P54" s="23"/>
      <c r="Q54" s="23"/>
      <c r="R54" s="23"/>
      <c r="S54" s="23"/>
      <c r="T54" s="23"/>
      <c r="U54" s="23"/>
      <c r="V54" s="23"/>
      <c r="W54" s="23"/>
    </row>
    <row r="55" spans="1:23" ht="12.75">
      <c r="A55" s="27">
        <v>2719</v>
      </c>
      <c r="B55" s="27" t="s">
        <v>63</v>
      </c>
      <c r="C55" s="27">
        <v>12210</v>
      </c>
      <c r="D55" s="27">
        <v>1404</v>
      </c>
      <c r="E55" s="27">
        <v>4661</v>
      </c>
      <c r="F55" s="27">
        <v>9453</v>
      </c>
      <c r="G55" s="23"/>
      <c r="H55" s="23"/>
      <c r="I55" s="23"/>
      <c r="J55" s="23"/>
      <c r="K55" s="23">
        <f t="shared" si="9"/>
        <v>27728</v>
      </c>
      <c r="L55" s="23"/>
      <c r="M55" s="23"/>
      <c r="N55" s="23"/>
      <c r="O55" s="23"/>
      <c r="P55" s="23"/>
      <c r="Q55" s="23"/>
      <c r="R55" s="23"/>
      <c r="S55" s="23"/>
      <c r="T55" s="23"/>
      <c r="U55" s="23"/>
      <c r="V55" s="23"/>
      <c r="W55" s="23"/>
    </row>
    <row r="56" spans="1:23" ht="12.75">
      <c r="A56" s="27">
        <v>2719</v>
      </c>
      <c r="B56" s="27" t="s">
        <v>64</v>
      </c>
      <c r="C56" s="27">
        <v>6703</v>
      </c>
      <c r="D56" s="27">
        <v>1109</v>
      </c>
      <c r="E56" s="27">
        <v>4385</v>
      </c>
      <c r="F56" s="27">
        <v>9475</v>
      </c>
      <c r="G56" s="23"/>
      <c r="H56" s="23"/>
      <c r="I56" s="23"/>
      <c r="J56" s="23"/>
      <c r="K56" s="23">
        <f t="shared" si="9"/>
        <v>21672</v>
      </c>
      <c r="L56" s="23"/>
      <c r="M56" s="23"/>
      <c r="N56" s="23"/>
      <c r="O56" s="23"/>
      <c r="P56" s="23"/>
      <c r="Q56" s="23"/>
      <c r="R56" s="23"/>
      <c r="S56" s="23"/>
      <c r="T56" s="23"/>
      <c r="U56" s="23"/>
      <c r="V56" s="23"/>
      <c r="W56" s="23"/>
    </row>
    <row r="57" spans="1:23" ht="12.75">
      <c r="A57" s="27">
        <v>2719</v>
      </c>
      <c r="B57" s="27" t="s">
        <v>65</v>
      </c>
      <c r="C57" s="27">
        <v>14010</v>
      </c>
      <c r="D57" s="27">
        <v>1563</v>
      </c>
      <c r="E57" s="27">
        <v>4736</v>
      </c>
      <c r="F57" s="27">
        <v>9475</v>
      </c>
      <c r="G57" s="23"/>
      <c r="H57" s="23"/>
      <c r="I57" s="23"/>
      <c r="J57" s="23"/>
      <c r="K57" s="23">
        <f t="shared" si="9"/>
        <v>29784</v>
      </c>
      <c r="L57" s="23"/>
      <c r="M57" s="23"/>
      <c r="N57" s="23"/>
      <c r="O57" s="23"/>
      <c r="P57" s="23"/>
      <c r="Q57" s="23"/>
      <c r="R57" s="23"/>
      <c r="S57" s="23"/>
      <c r="T57" s="23"/>
      <c r="U57" s="23"/>
      <c r="V57" s="23"/>
      <c r="W57" s="23"/>
    </row>
    <row r="58" spans="1:23" ht="12.75">
      <c r="A58" s="27">
        <v>2719</v>
      </c>
      <c r="B58" s="27" t="s">
        <v>66</v>
      </c>
      <c r="C58" s="27">
        <v>11751</v>
      </c>
      <c r="D58" s="27">
        <v>1781</v>
      </c>
      <c r="E58" s="27">
        <v>4594</v>
      </c>
      <c r="F58" s="27">
        <v>9475</v>
      </c>
      <c r="G58" s="23"/>
      <c r="H58" s="23"/>
      <c r="I58" s="23"/>
      <c r="J58" s="23"/>
      <c r="K58" s="23">
        <f t="shared" si="9"/>
        <v>27601</v>
      </c>
      <c r="L58" s="23"/>
      <c r="M58" s="23"/>
      <c r="N58" s="23"/>
      <c r="O58" s="23"/>
      <c r="P58" s="23"/>
      <c r="Q58" s="23"/>
      <c r="R58" s="23"/>
      <c r="S58" s="23"/>
      <c r="T58" s="23"/>
      <c r="U58" s="23"/>
      <c r="V58" s="23"/>
      <c r="W58" s="23"/>
    </row>
    <row r="59" spans="1:23" ht="12.75">
      <c r="A59" s="27">
        <v>2719</v>
      </c>
      <c r="B59" s="27" t="s">
        <v>67</v>
      </c>
      <c r="C59" s="27">
        <v>11983</v>
      </c>
      <c r="D59" s="27">
        <v>2225</v>
      </c>
      <c r="E59" s="27">
        <v>4523</v>
      </c>
      <c r="F59" s="27">
        <v>9453</v>
      </c>
      <c r="G59" s="23"/>
      <c r="H59" s="23"/>
      <c r="I59" s="23"/>
      <c r="J59" s="23"/>
      <c r="K59" s="23">
        <f t="shared" si="9"/>
        <v>28184</v>
      </c>
      <c r="L59" s="23"/>
      <c r="M59" s="23"/>
      <c r="N59" s="23"/>
      <c r="O59" s="23"/>
      <c r="P59" s="23"/>
      <c r="Q59" s="23"/>
      <c r="R59" s="23"/>
      <c r="S59" s="23"/>
      <c r="T59" s="23"/>
      <c r="U59" s="23"/>
      <c r="V59" s="23"/>
      <c r="W59" s="23"/>
    </row>
    <row r="60" spans="1:23" ht="12.75">
      <c r="A60" s="27">
        <v>2719</v>
      </c>
      <c r="B60" s="27" t="s">
        <v>68</v>
      </c>
      <c r="C60" s="27">
        <v>16323</v>
      </c>
      <c r="D60" s="27">
        <v>1636</v>
      </c>
      <c r="E60" s="27">
        <v>4804</v>
      </c>
      <c r="F60" s="27">
        <v>9453</v>
      </c>
      <c r="G60" s="23"/>
      <c r="H60" s="23"/>
      <c r="I60" s="23"/>
      <c r="J60" s="23"/>
      <c r="K60" s="23">
        <f t="shared" si="9"/>
        <v>32216</v>
      </c>
      <c r="L60" s="23"/>
      <c r="M60" s="23"/>
      <c r="N60" s="23"/>
      <c r="O60" s="23"/>
      <c r="P60" s="23"/>
      <c r="Q60" s="23"/>
      <c r="R60" s="23"/>
      <c r="S60" s="23"/>
      <c r="T60" s="23"/>
      <c r="U60" s="23"/>
      <c r="V60" s="23"/>
      <c r="W60" s="23"/>
    </row>
    <row r="61" spans="1:23" ht="12.75">
      <c r="A61" s="27">
        <v>2719</v>
      </c>
      <c r="B61" s="27" t="s">
        <v>69</v>
      </c>
      <c r="C61" s="27">
        <v>23475</v>
      </c>
      <c r="D61" s="27">
        <v>1368</v>
      </c>
      <c r="E61" s="27">
        <v>4944</v>
      </c>
      <c r="F61" s="27">
        <v>13173</v>
      </c>
      <c r="G61" s="23"/>
      <c r="H61" s="23"/>
      <c r="I61" s="23"/>
      <c r="J61" s="23"/>
      <c r="K61" s="23">
        <f t="shared" si="9"/>
        <v>42960</v>
      </c>
      <c r="L61" s="23"/>
      <c r="M61" s="23"/>
      <c r="N61" s="23"/>
      <c r="O61" s="23"/>
      <c r="P61" s="23"/>
      <c r="Q61" s="23"/>
      <c r="R61" s="23"/>
      <c r="S61" s="23"/>
      <c r="T61" s="23"/>
      <c r="U61" s="23"/>
      <c r="V61" s="23"/>
      <c r="W61" s="23"/>
    </row>
    <row r="62" spans="1:23" ht="12.75">
      <c r="A62" s="27">
        <v>2719</v>
      </c>
      <c r="B62" s="27" t="s">
        <v>70</v>
      </c>
      <c r="C62" s="27">
        <v>20745</v>
      </c>
      <c r="D62" s="27">
        <v>1139</v>
      </c>
      <c r="E62" s="27">
        <v>4942</v>
      </c>
      <c r="F62" s="27">
        <v>13173</v>
      </c>
      <c r="G62" s="23"/>
      <c r="H62" s="23"/>
      <c r="I62" s="23"/>
      <c r="J62" s="23"/>
      <c r="K62" s="23">
        <f t="shared" si="9"/>
        <v>39999</v>
      </c>
      <c r="L62" s="23"/>
      <c r="M62" s="23"/>
      <c r="N62" s="23"/>
      <c r="O62" s="23"/>
      <c r="P62" s="23"/>
      <c r="Q62" s="23"/>
      <c r="R62" s="23"/>
      <c r="S62" s="23"/>
      <c r="T62" s="23"/>
      <c r="U62" s="23"/>
      <c r="V62" s="23"/>
      <c r="W62" s="23"/>
    </row>
    <row r="63" spans="1:23" ht="12.75">
      <c r="A63" s="27">
        <v>2719</v>
      </c>
      <c r="B63" s="27" t="s">
        <v>71</v>
      </c>
      <c r="C63" s="27">
        <v>19935</v>
      </c>
      <c r="D63" s="27">
        <v>1758</v>
      </c>
      <c r="E63" s="27">
        <v>4800</v>
      </c>
      <c r="F63" s="27">
        <v>13173</v>
      </c>
      <c r="G63" s="23"/>
      <c r="H63" s="23"/>
      <c r="I63" s="23"/>
      <c r="J63" s="23"/>
      <c r="K63" s="23">
        <f t="shared" si="9"/>
        <v>39666</v>
      </c>
      <c r="L63" s="23"/>
      <c r="M63" s="23"/>
      <c r="N63" s="23"/>
      <c r="O63" s="23"/>
      <c r="P63" s="23"/>
      <c r="Q63" s="23"/>
      <c r="R63" s="23"/>
      <c r="S63" s="23"/>
      <c r="T63" s="23"/>
      <c r="U63" s="23"/>
      <c r="V63" s="23"/>
      <c r="W63" s="23"/>
    </row>
    <row r="64" spans="1:23" ht="12.75">
      <c r="A64" s="27"/>
      <c r="B64" s="27"/>
      <c r="C64" s="27"/>
      <c r="D64" s="27"/>
      <c r="E64" s="27"/>
      <c r="F64" s="27"/>
      <c r="G64" s="23"/>
      <c r="H64" s="23"/>
      <c r="I64" s="23"/>
      <c r="J64" s="23"/>
      <c r="K64" s="23"/>
      <c r="L64" s="23"/>
      <c r="M64" s="23"/>
      <c r="N64" s="23"/>
      <c r="O64" s="23"/>
      <c r="P64" s="23"/>
      <c r="Q64" s="23"/>
      <c r="R64" s="23"/>
      <c r="S64" s="23"/>
      <c r="T64" s="23"/>
      <c r="U64" s="23"/>
      <c r="V64" s="23"/>
      <c r="W64" s="23"/>
    </row>
    <row r="65" spans="1:23" ht="12.75">
      <c r="A65" s="27">
        <v>3159</v>
      </c>
      <c r="B65" s="27" t="s">
        <v>6</v>
      </c>
      <c r="C65" s="27">
        <v>8894</v>
      </c>
      <c r="D65" s="27">
        <v>1711</v>
      </c>
      <c r="E65" s="27">
        <v>4380</v>
      </c>
      <c r="F65" s="27">
        <v>10656</v>
      </c>
      <c r="G65" s="23"/>
      <c r="H65" s="23"/>
      <c r="I65" s="23"/>
      <c r="J65" s="23"/>
      <c r="K65" s="23">
        <f aca="true" t="shared" si="10" ref="K65:K75">SUM(C65:F65)</f>
        <v>25641</v>
      </c>
      <c r="L65" s="23"/>
      <c r="M65" s="23"/>
      <c r="N65" s="23"/>
      <c r="O65" s="23"/>
      <c r="P65" s="23"/>
      <c r="Q65" s="23"/>
      <c r="R65" s="23"/>
      <c r="S65" s="23"/>
      <c r="T65" s="23"/>
      <c r="U65" s="23"/>
      <c r="V65" s="23"/>
      <c r="W65" s="23"/>
    </row>
    <row r="66" spans="1:23" ht="12.75">
      <c r="A66" s="27">
        <v>3159</v>
      </c>
      <c r="B66" s="27" t="s">
        <v>62</v>
      </c>
      <c r="C66" s="27">
        <v>9747</v>
      </c>
      <c r="D66" s="27">
        <v>2221</v>
      </c>
      <c r="E66" s="27">
        <v>4378</v>
      </c>
      <c r="F66" s="27">
        <v>10656</v>
      </c>
      <c r="G66" s="23"/>
      <c r="H66" s="23"/>
      <c r="I66" s="23"/>
      <c r="J66" s="23"/>
      <c r="K66" s="23">
        <f t="shared" si="10"/>
        <v>27002</v>
      </c>
      <c r="L66" s="23"/>
      <c r="M66" s="23"/>
      <c r="N66" s="23"/>
      <c r="O66" s="23"/>
      <c r="P66" s="23"/>
      <c r="Q66" s="23"/>
      <c r="R66" s="23"/>
      <c r="S66" s="23"/>
      <c r="T66" s="23"/>
      <c r="U66" s="23"/>
      <c r="V66" s="23"/>
      <c r="W66" s="23"/>
    </row>
    <row r="67" spans="1:23" ht="12.75">
      <c r="A67" s="27">
        <v>3159</v>
      </c>
      <c r="B67" s="27" t="s">
        <v>63</v>
      </c>
      <c r="C67" s="27">
        <v>15505</v>
      </c>
      <c r="D67" s="27">
        <v>1662</v>
      </c>
      <c r="E67" s="27">
        <v>4661</v>
      </c>
      <c r="F67" s="27">
        <v>10656</v>
      </c>
      <c r="G67" s="23"/>
      <c r="H67" s="23"/>
      <c r="I67" s="23"/>
      <c r="J67" s="23"/>
      <c r="K67" s="23">
        <f t="shared" si="10"/>
        <v>32484</v>
      </c>
      <c r="L67" s="23"/>
      <c r="M67" s="23"/>
      <c r="N67" s="23"/>
      <c r="O67" s="23"/>
      <c r="P67" s="23"/>
      <c r="Q67" s="23"/>
      <c r="R67" s="23"/>
      <c r="S67" s="23"/>
      <c r="T67" s="23"/>
      <c r="U67" s="23"/>
      <c r="V67" s="23"/>
      <c r="W67" s="23"/>
    </row>
    <row r="68" spans="1:23" ht="12.75">
      <c r="A68" s="27">
        <v>3159</v>
      </c>
      <c r="B68" s="27" t="s">
        <v>64</v>
      </c>
      <c r="C68" s="27">
        <v>8627</v>
      </c>
      <c r="D68" s="27">
        <v>1273</v>
      </c>
      <c r="E68" s="27">
        <v>4385</v>
      </c>
      <c r="F68" s="27">
        <v>10744</v>
      </c>
      <c r="G68" s="23"/>
      <c r="H68" s="23"/>
      <c r="I68" s="23"/>
      <c r="J68" s="23"/>
      <c r="K68" s="23">
        <f t="shared" si="10"/>
        <v>25029</v>
      </c>
      <c r="L68" s="23"/>
      <c r="M68" s="23"/>
      <c r="N68" s="23"/>
      <c r="O68" s="23"/>
      <c r="P68" s="23"/>
      <c r="Q68" s="23"/>
      <c r="R68" s="23"/>
      <c r="S68" s="23"/>
      <c r="T68" s="23"/>
      <c r="U68" s="23"/>
      <c r="V68" s="23"/>
      <c r="W68" s="23"/>
    </row>
    <row r="69" spans="1:23" ht="12.75">
      <c r="A69" s="27">
        <v>3159</v>
      </c>
      <c r="B69" s="27" t="s">
        <v>65</v>
      </c>
      <c r="C69" s="27">
        <v>17775</v>
      </c>
      <c r="D69" s="27">
        <v>1853</v>
      </c>
      <c r="E69" s="27">
        <v>4736</v>
      </c>
      <c r="F69" s="27">
        <v>10744</v>
      </c>
      <c r="G69" s="23"/>
      <c r="H69" s="23"/>
      <c r="I69" s="23"/>
      <c r="J69" s="23"/>
      <c r="K69" s="23">
        <f t="shared" si="10"/>
        <v>35108</v>
      </c>
      <c r="L69" s="23"/>
      <c r="M69" s="23"/>
      <c r="N69" s="23"/>
      <c r="O69" s="23"/>
      <c r="P69" s="23"/>
      <c r="Q69" s="23"/>
      <c r="R69" s="23"/>
      <c r="S69" s="23"/>
      <c r="T69" s="23"/>
      <c r="U69" s="23"/>
      <c r="V69" s="23"/>
      <c r="W69" s="23"/>
    </row>
    <row r="70" spans="1:23" ht="12.75">
      <c r="A70" s="27">
        <v>3159</v>
      </c>
      <c r="B70" s="27" t="s">
        <v>66</v>
      </c>
      <c r="C70" s="27">
        <v>14885</v>
      </c>
      <c r="D70" s="27">
        <v>2127</v>
      </c>
      <c r="E70" s="27">
        <v>4594</v>
      </c>
      <c r="F70" s="27">
        <v>10744</v>
      </c>
      <c r="G70" s="23"/>
      <c r="H70" s="23"/>
      <c r="I70" s="23"/>
      <c r="J70" s="23"/>
      <c r="K70" s="23">
        <f t="shared" si="10"/>
        <v>32350</v>
      </c>
      <c r="L70" s="23"/>
      <c r="M70" s="23"/>
      <c r="N70" s="23"/>
      <c r="O70" s="23"/>
      <c r="P70" s="23"/>
      <c r="Q70" s="23"/>
      <c r="R70" s="23"/>
      <c r="S70" s="23"/>
      <c r="T70" s="23"/>
      <c r="U70" s="23"/>
      <c r="V70" s="23"/>
      <c r="W70" s="23"/>
    </row>
    <row r="71" spans="1:23" ht="12.75">
      <c r="A71" s="27">
        <v>3159</v>
      </c>
      <c r="B71" s="27" t="s">
        <v>67</v>
      </c>
      <c r="C71" s="27">
        <v>15165</v>
      </c>
      <c r="D71" s="27">
        <v>2679</v>
      </c>
      <c r="E71" s="27">
        <v>4523</v>
      </c>
      <c r="F71" s="27">
        <v>10656</v>
      </c>
      <c r="G71" s="23"/>
      <c r="H71" s="23"/>
      <c r="I71" s="23"/>
      <c r="J71" s="23"/>
      <c r="K71" s="23">
        <f t="shared" si="10"/>
        <v>33023</v>
      </c>
      <c r="L71" s="23"/>
      <c r="M71" s="23"/>
      <c r="N71" s="23"/>
      <c r="O71" s="23"/>
      <c r="P71" s="23"/>
      <c r="Q71" s="23"/>
      <c r="R71" s="23"/>
      <c r="S71" s="23"/>
      <c r="T71" s="23"/>
      <c r="U71" s="23"/>
      <c r="V71" s="23"/>
      <c r="W71" s="23"/>
    </row>
    <row r="72" spans="1:23" ht="12.75">
      <c r="A72" s="27">
        <v>3159</v>
      </c>
      <c r="B72" s="27" t="s">
        <v>68</v>
      </c>
      <c r="C72" s="27">
        <v>20608</v>
      </c>
      <c r="D72" s="27">
        <v>1947</v>
      </c>
      <c r="E72" s="27">
        <v>4804</v>
      </c>
      <c r="F72" s="27">
        <v>10656</v>
      </c>
      <c r="G72" s="23"/>
      <c r="H72" s="23"/>
      <c r="I72" s="23"/>
      <c r="J72" s="23"/>
      <c r="K72" s="23">
        <f t="shared" si="10"/>
        <v>38015</v>
      </c>
      <c r="L72" s="23"/>
      <c r="M72" s="23"/>
      <c r="N72" s="23"/>
      <c r="O72" s="23"/>
      <c r="P72" s="23"/>
      <c r="Q72" s="23"/>
      <c r="R72" s="23"/>
      <c r="S72" s="23"/>
      <c r="T72" s="23"/>
      <c r="U72" s="23"/>
      <c r="V72" s="23"/>
      <c r="W72" s="23"/>
    </row>
    <row r="73" spans="1:23" ht="12.75">
      <c r="A73" s="27">
        <v>3159</v>
      </c>
      <c r="B73" s="27" t="s">
        <v>69</v>
      </c>
      <c r="C73" s="27">
        <v>27723</v>
      </c>
      <c r="D73" s="27">
        <v>1765</v>
      </c>
      <c r="E73" s="27">
        <v>4944</v>
      </c>
      <c r="F73" s="27">
        <v>14111</v>
      </c>
      <c r="G73" s="23"/>
      <c r="H73" s="23"/>
      <c r="I73" s="23"/>
      <c r="J73" s="23"/>
      <c r="K73" s="23">
        <f t="shared" si="10"/>
        <v>48543</v>
      </c>
      <c r="L73" s="23"/>
      <c r="M73" s="23"/>
      <c r="N73" s="23"/>
      <c r="O73" s="23"/>
      <c r="P73" s="23"/>
      <c r="Q73" s="23"/>
      <c r="R73" s="23"/>
      <c r="S73" s="23"/>
      <c r="T73" s="23"/>
      <c r="U73" s="23"/>
      <c r="V73" s="23"/>
      <c r="W73" s="23"/>
    </row>
    <row r="74" spans="1:23" ht="12.75">
      <c r="A74" s="27">
        <v>3159</v>
      </c>
      <c r="B74" s="27" t="s">
        <v>70</v>
      </c>
      <c r="C74" s="27">
        <v>24512</v>
      </c>
      <c r="D74" s="27">
        <v>1485</v>
      </c>
      <c r="E74" s="27">
        <v>4942</v>
      </c>
      <c r="F74" s="27">
        <v>14111</v>
      </c>
      <c r="G74" s="23"/>
      <c r="H74" s="23"/>
      <c r="I74" s="23"/>
      <c r="J74" s="23"/>
      <c r="K74" s="23">
        <f t="shared" si="10"/>
        <v>45050</v>
      </c>
      <c r="L74" s="23"/>
      <c r="M74" s="23"/>
      <c r="N74" s="23"/>
      <c r="O74" s="23"/>
      <c r="P74" s="23"/>
      <c r="Q74" s="23"/>
      <c r="R74" s="23"/>
      <c r="S74" s="23"/>
      <c r="T74" s="23"/>
      <c r="U74" s="23"/>
      <c r="V74" s="23"/>
      <c r="W74" s="23"/>
    </row>
    <row r="75" spans="1:23" ht="12.75">
      <c r="A75" s="27">
        <v>3159</v>
      </c>
      <c r="B75" s="27" t="s">
        <v>71</v>
      </c>
      <c r="C75" s="27">
        <v>23634</v>
      </c>
      <c r="D75" s="27">
        <v>2258</v>
      </c>
      <c r="E75" s="27">
        <v>4800</v>
      </c>
      <c r="F75" s="27">
        <v>14111</v>
      </c>
      <c r="G75" s="23"/>
      <c r="H75" s="23"/>
      <c r="I75" s="23"/>
      <c r="J75" s="23"/>
      <c r="K75" s="23">
        <f t="shared" si="10"/>
        <v>44803</v>
      </c>
      <c r="L75" s="23"/>
      <c r="M75" s="23"/>
      <c r="N75" s="23"/>
      <c r="O75" s="23"/>
      <c r="P75" s="23"/>
      <c r="Q75" s="23"/>
      <c r="R75" s="23"/>
      <c r="S75" s="23"/>
      <c r="T75" s="23"/>
      <c r="U75" s="23"/>
      <c r="V75" s="23"/>
      <c r="W75" s="23"/>
    </row>
    <row r="76" spans="1:23" ht="12.75">
      <c r="A76" s="23"/>
      <c r="B76" s="23"/>
      <c r="C76" s="23"/>
      <c r="D76" s="23"/>
      <c r="E76" s="23"/>
      <c r="F76" s="23"/>
      <c r="G76" s="23"/>
      <c r="H76" s="23"/>
      <c r="I76" s="23"/>
      <c r="J76" s="23"/>
      <c r="K76" s="23"/>
      <c r="L76" s="23"/>
      <c r="M76" s="23"/>
      <c r="N76" s="23"/>
      <c r="O76" s="23"/>
      <c r="P76" s="23"/>
      <c r="Q76" s="23"/>
      <c r="R76" s="23"/>
      <c r="S76" s="23"/>
      <c r="T76" s="23"/>
      <c r="U76" s="23"/>
      <c r="V76" s="23"/>
      <c r="W76" s="23"/>
    </row>
  </sheetData>
  <mergeCells count="1">
    <mergeCell ref="A1:W1"/>
  </mergeCells>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V76"/>
  <sheetViews>
    <sheetView workbookViewId="0" topLeftCell="F1">
      <selection activeCell="U15" sqref="U15"/>
    </sheetView>
  </sheetViews>
  <sheetFormatPr defaultColWidth="9.140625" defaultRowHeight="12.75"/>
  <cols>
    <col min="1" max="1" width="15.00390625" style="5" customWidth="1"/>
    <col min="2" max="2" width="11.28125" style="5" customWidth="1"/>
    <col min="3" max="3" width="13.00390625" style="5" customWidth="1"/>
    <col min="4" max="4" width="11.8515625" style="5" customWidth="1"/>
    <col min="5" max="5" width="8.140625" style="5" customWidth="1"/>
    <col min="6" max="6" width="15.00390625" style="5" customWidth="1"/>
    <col min="7" max="7" width="16.140625" style="5" customWidth="1"/>
    <col min="8" max="8" width="15.00390625" style="5" customWidth="1"/>
    <col min="9" max="9" width="5.57421875" style="5" customWidth="1"/>
    <col min="10" max="10" width="9.57421875" style="5" customWidth="1"/>
    <col min="11" max="11" width="10.421875" style="18" customWidth="1"/>
    <col min="12" max="16384" width="8.8515625" style="5" customWidth="1"/>
  </cols>
  <sheetData>
    <row r="1" spans="1:22" ht="39.75" customHeight="1" thickBot="1">
      <c r="A1" s="302" t="s">
        <v>141</v>
      </c>
      <c r="B1" s="303"/>
      <c r="C1" s="303"/>
      <c r="D1" s="303"/>
      <c r="E1" s="303"/>
      <c r="F1" s="303"/>
      <c r="G1" s="303"/>
      <c r="H1" s="303"/>
      <c r="I1" s="303"/>
      <c r="J1" s="303"/>
      <c r="K1" s="303"/>
      <c r="L1" s="303"/>
      <c r="M1" s="303"/>
      <c r="N1" s="303"/>
      <c r="O1" s="303"/>
      <c r="P1" s="303"/>
      <c r="Q1" s="303"/>
      <c r="R1" s="303"/>
      <c r="S1" s="303"/>
      <c r="T1" s="303"/>
      <c r="U1" s="303"/>
      <c r="V1" s="304"/>
    </row>
    <row r="2" spans="1:22" ht="13.5" thickBot="1">
      <c r="A2" s="23"/>
      <c r="B2" s="23"/>
      <c r="C2" s="23"/>
      <c r="D2" s="23"/>
      <c r="E2" s="23"/>
      <c r="F2" s="23"/>
      <c r="G2" s="23"/>
      <c r="H2" s="23"/>
      <c r="I2" s="23"/>
      <c r="J2" s="23"/>
      <c r="K2" s="74"/>
      <c r="L2" s="23"/>
      <c r="M2" s="23"/>
      <c r="N2" s="23"/>
      <c r="O2" s="23"/>
      <c r="P2" s="23"/>
      <c r="Q2" s="23"/>
      <c r="R2" s="23"/>
      <c r="S2" s="23"/>
      <c r="T2" s="23"/>
      <c r="U2" s="23"/>
      <c r="V2" s="23"/>
    </row>
    <row r="3" spans="1:22" ht="51.75" thickBot="1">
      <c r="A3" s="69" t="s">
        <v>85</v>
      </c>
      <c r="B3" s="21"/>
      <c r="C3" s="21" t="s">
        <v>116</v>
      </c>
      <c r="D3" s="21" t="s">
        <v>117</v>
      </c>
      <c r="E3" s="21" t="s">
        <v>118</v>
      </c>
      <c r="F3" s="21" t="s">
        <v>119</v>
      </c>
      <c r="G3" s="21" t="s">
        <v>120</v>
      </c>
      <c r="H3" s="21" t="s">
        <v>121</v>
      </c>
      <c r="I3" s="21"/>
      <c r="J3" s="21" t="s">
        <v>122</v>
      </c>
      <c r="K3" s="72" t="s">
        <v>123</v>
      </c>
      <c r="L3" s="70"/>
      <c r="M3" s="21" t="s">
        <v>124</v>
      </c>
      <c r="N3" s="21" t="s">
        <v>125</v>
      </c>
      <c r="O3" s="21" t="s">
        <v>126</v>
      </c>
      <c r="P3" s="21" t="s">
        <v>127</v>
      </c>
      <c r="Q3" s="21" t="s">
        <v>128</v>
      </c>
      <c r="R3" s="21" t="s">
        <v>129</v>
      </c>
      <c r="S3" s="21" t="s">
        <v>130</v>
      </c>
      <c r="T3" s="21" t="s">
        <v>131</v>
      </c>
      <c r="U3" s="21" t="s">
        <v>132</v>
      </c>
      <c r="V3" s="71" t="s">
        <v>88</v>
      </c>
    </row>
    <row r="4" spans="1:22" ht="12.75">
      <c r="A4" s="27">
        <v>1219</v>
      </c>
      <c r="B4" s="27" t="s">
        <v>6</v>
      </c>
      <c r="C4" s="27">
        <v>242</v>
      </c>
      <c r="D4" s="27">
        <v>277</v>
      </c>
      <c r="E4" s="27">
        <v>770</v>
      </c>
      <c r="F4" s="27">
        <v>196</v>
      </c>
      <c r="G4" s="27">
        <v>44</v>
      </c>
      <c r="H4" s="27">
        <v>3613</v>
      </c>
      <c r="I4" s="27"/>
      <c r="J4" s="27">
        <f aca="true" t="shared" si="0" ref="J4:J14">C4+F4</f>
        <v>438</v>
      </c>
      <c r="K4" s="75">
        <f aca="true" t="shared" si="1" ref="K4:K14">D4+E4+G4+H4</f>
        <v>4704</v>
      </c>
      <c r="L4" s="23"/>
      <c r="M4" s="27">
        <f>IF(AND(Calculations!$B$5&lt;=$A$16,Calculations!$B$7=Calculations!$E$52,Calculations!$B$6=$B4),$J16+(Calculations!$B$5-$A16)*(($J16-$J4)/($A16-$A4)),0)</f>
        <v>683.952</v>
      </c>
      <c r="N4" s="27">
        <f>IF(AND(Calculations!$B$5&lt;=$A$16,Calculations!$B$7=Calculations!$E$52,Calculations!$B$6=$B4,Calculations!$B$8=Calculations!$E$48),$K16+(Calculations!$B$5-$A16)*(($K16-$K4)/($A16-$A4)),0)</f>
        <v>8503.446</v>
      </c>
      <c r="O4" s="27">
        <f>IF(AND(Calculations!$B$5&lt;=$A$16,Calculations!$B$7=Calculations!$E$52,Calculations!$B$6=$B4,Calculations!$B$8=Calculations!$E$49),($K16+(Calculations!$B$5-$A16)*(($K16-$K4)/($A16-$A4)))-E4,0)</f>
        <v>0</v>
      </c>
      <c r="P4" s="27">
        <f>IF(AND(Calculations!$B$5&gt;$A$16,Calculations!$B$7=Calculations!$E$52,Calculations!$B$6=$B4),$J28+(Calculations!$B$5-$A28)*(($J28-$J28)/($A28-$A16)),0)</f>
        <v>0</v>
      </c>
      <c r="Q4" s="27">
        <f>IF(AND(Calculations!$B$5&gt;$A$16,Calculations!$B$7=Calculations!$E$52,Calculations!$B$6=$B4,Calculations!$B$8=Calculations!$E$48),$K28+(Calculations!$B$5-$A28)*(($K28-$K16)/($A28-$A16)),0)</f>
        <v>0</v>
      </c>
      <c r="R4" s="27">
        <f>IF(AND(Calculations!$B$5&gt;$A$16,Calculations!$B$7=Calculations!$E$52,Calculations!$B$6=$B4,Calculations!$B$8=Calculations!$E$49),$K28+(Calculations!$B$5-$A28)*(($K28-$K16)/($A28-$A16))-E16,0)</f>
        <v>0</v>
      </c>
      <c r="S4" s="27">
        <f>IF(AND(Calculations!$B$5&lt;=$A$16,Calculations!$B$7=Calculations!$E$51,Calculations!$B$6=$B4),$K53+(Calculations!$B$5-$A53)*(($K53-$K41)/($A53-$A41)),0)</f>
        <v>0</v>
      </c>
      <c r="T4" s="27">
        <f>IF(AND(Calculations!$B$5&gt;$A$16,Calculations!$B$7=Calculations!$E$51,Calculations!$B$6=$B4),$K65+(Calculations!$B$5-$A65)*(($K65-$K53)/($A65-$A53)),0)</f>
        <v>0</v>
      </c>
      <c r="U4" s="27">
        <f aca="true" t="shared" si="2" ref="U4:U14">M4+P4</f>
        <v>683.952</v>
      </c>
      <c r="V4" s="27">
        <f aca="true" t="shared" si="3" ref="V4:V14">N4+O4+Q4+R4+S4+T4</f>
        <v>8503.446</v>
      </c>
    </row>
    <row r="5" spans="1:22" ht="12.75">
      <c r="A5" s="27">
        <v>1219</v>
      </c>
      <c r="B5" s="27" t="s">
        <v>62</v>
      </c>
      <c r="C5" s="27">
        <v>254</v>
      </c>
      <c r="D5" s="27">
        <v>275</v>
      </c>
      <c r="E5" s="27">
        <v>1027</v>
      </c>
      <c r="F5" s="27">
        <v>195</v>
      </c>
      <c r="G5" s="27">
        <v>44</v>
      </c>
      <c r="H5" s="27">
        <v>3613</v>
      </c>
      <c r="I5" s="27"/>
      <c r="J5" s="27">
        <f t="shared" si="0"/>
        <v>449</v>
      </c>
      <c r="K5" s="75">
        <f t="shared" si="1"/>
        <v>4959</v>
      </c>
      <c r="L5" s="23"/>
      <c r="M5" s="27">
        <f>IF(AND(Calculations!$B$5&lt;=$A$16,Calculations!$B$7=Calculations!$E$52,Calculations!$B$6=$B5),$J17+(Calculations!$B$5-$A17)*(($J17-$J5)/($A17-$A5)),0)</f>
        <v>0</v>
      </c>
      <c r="N5" s="27">
        <f>IF(AND(Calculations!$B$5&lt;=$A$16,Calculations!$B$7=Calculations!$E$52,Calculations!$B$6=$B5,Calculations!$B$8=Calculations!$E$48),$K17+(Calculations!$B$5-$A17)*(($K17-$K5)/($A17-$A5)),0)</f>
        <v>0</v>
      </c>
      <c r="O5" s="27">
        <f>IF(AND(Calculations!$B$5&lt;=$A$16,Calculations!$B$7=Calculations!$E$52,Calculations!$B$6=$B5,Calculations!$B$8=Calculations!$E$49),($K17+(Calculations!$B$5-$A17)*(($K17-$K5)/($A17-$A5)))-E5,0)</f>
        <v>0</v>
      </c>
      <c r="P5" s="27">
        <f>IF(AND(Calculations!$B$5&gt;$A$16,Calculations!$B$7=Calculations!$E$52,Calculations!$B$6=$B5),$J29+(Calculations!$B$5-$A29)*(($J29-$J29)/($A29-$A17)),0)</f>
        <v>0</v>
      </c>
      <c r="Q5" s="27">
        <f>IF(AND(Calculations!$B$5&gt;$A$16,Calculations!$B$7=Calculations!$E$52,Calculations!$B$6=$B5,Calculations!$B$8=Calculations!$E$48),$K29+(Calculations!$B$5-$A29)*(($K29-$K17)/($A29-$A17)),0)</f>
        <v>0</v>
      </c>
      <c r="R5" s="27">
        <f>IF(AND(Calculations!$B$5&gt;$A$16,Calculations!$B$7=Calculations!$E$52,Calculations!$B$6=$B5,Calculations!$B$8=Calculations!$E$49),$K29+(Calculations!$B$5-$A29)*(($K29-$K17)/($A29-$A17))-E17,0)</f>
        <v>0</v>
      </c>
      <c r="S5" s="27">
        <f>IF(AND(Calculations!$B$5&lt;=$A$16,Calculations!$B$7=Calculations!$E$51,Calculations!$B$6=$B5),$K54+(Calculations!$B$5-$A54)*(($K54-$K42)/($A54-$A42)),0)</f>
        <v>0</v>
      </c>
      <c r="T5" s="27">
        <f>IF(AND(Calculations!$B$5&gt;$A$16,Calculations!$B$7=Calculations!$E$51,Calculations!$B$6=$B5),$K66+(Calculations!$B$5-$A66)*(($K66-$K54)/($A66-$A54)),0)</f>
        <v>0</v>
      </c>
      <c r="U5" s="27">
        <f t="shared" si="2"/>
        <v>0</v>
      </c>
      <c r="V5" s="27">
        <f t="shared" si="3"/>
        <v>0</v>
      </c>
    </row>
    <row r="6" spans="1:22" ht="12.75">
      <c r="A6" s="27">
        <v>1219</v>
      </c>
      <c r="B6" s="27" t="s">
        <v>63</v>
      </c>
      <c r="C6" s="27">
        <v>336</v>
      </c>
      <c r="D6" s="27">
        <v>359</v>
      </c>
      <c r="E6" s="27">
        <v>754</v>
      </c>
      <c r="F6" s="27">
        <v>208</v>
      </c>
      <c r="G6" s="27">
        <v>44</v>
      </c>
      <c r="H6" s="27">
        <v>3613</v>
      </c>
      <c r="I6" s="27"/>
      <c r="J6" s="27">
        <f t="shared" si="0"/>
        <v>544</v>
      </c>
      <c r="K6" s="75">
        <f t="shared" si="1"/>
        <v>4770</v>
      </c>
      <c r="L6" s="23"/>
      <c r="M6" s="27">
        <f>IF(AND(Calculations!$B$5&lt;=$A$16,Calculations!$B$7=Calculations!$E$52,Calculations!$B$6=$B6),$J18+(Calculations!$B$5-$A18)*(($J18-$J6)/($A18-$A6)),0)</f>
        <v>0</v>
      </c>
      <c r="N6" s="27">
        <f>IF(AND(Calculations!$B$5&lt;=$A$16,Calculations!$B$7=Calculations!$E$52,Calculations!$B$6=$B6,Calculations!$B$8=Calculations!$E$48),$K18+(Calculations!$B$5-$A18)*(($K18-$K6)/($A18-$A6)),0)</f>
        <v>0</v>
      </c>
      <c r="O6" s="27">
        <f>IF(AND(Calculations!$B$5&lt;=$A$16,Calculations!$B$7=Calculations!$E$52,Calculations!$B$6=$B6,Calculations!$B$8=Calculations!$E$49),($K18+(Calculations!$B$5-$A18)*(($K18-$K6)/($A18-$A6)))-E6,0)</f>
        <v>0</v>
      </c>
      <c r="P6" s="27">
        <f>IF(AND(Calculations!$B$5&gt;$A$16,Calculations!$B$7=Calculations!$E$52,Calculations!$B$6=$B6),$J30+(Calculations!$B$5-$A30)*(($J30-$J30)/($A30-$A18)),0)</f>
        <v>0</v>
      </c>
      <c r="Q6" s="27">
        <f>IF(AND(Calculations!$B$5&gt;$A$16,Calculations!$B$7=Calculations!$E$52,Calculations!$B$6=$B6,Calculations!$B$8=Calculations!$E$48),$K30+(Calculations!$B$5-$A30)*(($K30-$K18)/($A30-$A18)),0)</f>
        <v>0</v>
      </c>
      <c r="R6" s="27">
        <f>IF(AND(Calculations!$B$5&gt;$A$16,Calculations!$B$7=Calculations!$E$52,Calculations!$B$6=$B6,Calculations!$B$8=Calculations!$E$49),$K30+(Calculations!$B$5-$A30)*(($K30-$K18)/($A30-$A18))-E18,0)</f>
        <v>0</v>
      </c>
      <c r="S6" s="27">
        <f>IF(AND(Calculations!$B$5&lt;=$A$16,Calculations!$B$7=Calculations!$E$51,Calculations!$B$6=$B6),$K55+(Calculations!$B$5-$A55)*(($K55-$K43)/($A55-$A43)),0)</f>
        <v>0</v>
      </c>
      <c r="T6" s="27">
        <f>IF(AND(Calculations!$B$5&gt;$A$16,Calculations!$B$7=Calculations!$E$51,Calculations!$B$6=$B6),$K67+(Calculations!$B$5-$A67)*(($K67-$K55)/($A67-$A55)),0)</f>
        <v>0</v>
      </c>
      <c r="U6" s="27">
        <f t="shared" si="2"/>
        <v>0</v>
      </c>
      <c r="V6" s="27">
        <f t="shared" si="3"/>
        <v>0</v>
      </c>
    </row>
    <row r="7" spans="1:22" ht="12.75">
      <c r="A7" s="27">
        <v>1219</v>
      </c>
      <c r="B7" s="27" t="s">
        <v>64</v>
      </c>
      <c r="C7" s="27">
        <v>238</v>
      </c>
      <c r="D7" s="27">
        <v>304</v>
      </c>
      <c r="E7" s="27">
        <v>584</v>
      </c>
      <c r="F7" s="27">
        <v>196</v>
      </c>
      <c r="G7" s="27">
        <v>44</v>
      </c>
      <c r="H7" s="27">
        <v>3613</v>
      </c>
      <c r="I7" s="27"/>
      <c r="J7" s="27">
        <f t="shared" si="0"/>
        <v>434</v>
      </c>
      <c r="K7" s="75">
        <f t="shared" si="1"/>
        <v>4545</v>
      </c>
      <c r="L7" s="23"/>
      <c r="M7" s="27">
        <f>IF(AND(Calculations!$B$5&lt;=$A$16,Calculations!$B$7=Calculations!$E$52,Calculations!$B$6=$B7),$J19+(Calculations!$B$5-$A19)*(($J19-$J7)/($A19-$A7)),0)</f>
        <v>0</v>
      </c>
      <c r="N7" s="27">
        <f>IF(AND(Calculations!$B$5&lt;=$A$16,Calculations!$B$7=Calculations!$E$52,Calculations!$B$6=$B7,Calculations!$B$8=Calculations!$E$48),$K19+(Calculations!$B$5-$A19)*(($K19-$K7)/($A19-$A7)),0)</f>
        <v>0</v>
      </c>
      <c r="O7" s="27">
        <f>IF(AND(Calculations!$B$5&lt;=$A$16,Calculations!$B$7=Calculations!$E$52,Calculations!$B$6=$B7,Calculations!$B$8=Calculations!$E$49),($K19+(Calculations!$B$5-$A19)*(($K19-$K7)/($A19-$A7)))-E7,0)</f>
        <v>0</v>
      </c>
      <c r="P7" s="27">
        <f>IF(AND(Calculations!$B$5&gt;$A$16,Calculations!$B$7=Calculations!$E$52,Calculations!$B$6=$B7),$J31+(Calculations!$B$5-$A31)*(($J31-$J31)/($A31-$A19)),0)</f>
        <v>0</v>
      </c>
      <c r="Q7" s="27">
        <f>IF(AND(Calculations!$B$5&gt;$A$16,Calculations!$B$7=Calculations!$E$52,Calculations!$B$6=$B7,Calculations!$B$8=Calculations!$E$48),$K31+(Calculations!$B$5-$A31)*(($K31-$K19)/($A31-$A19)),0)</f>
        <v>0</v>
      </c>
      <c r="R7" s="27">
        <f>IF(AND(Calculations!$B$5&gt;$A$16,Calculations!$B$7=Calculations!$E$52,Calculations!$B$6=$B7,Calculations!$B$8=Calculations!$E$49),$K31+(Calculations!$B$5-$A31)*(($K31-$K19)/($A31-$A19))-E19,0)</f>
        <v>0</v>
      </c>
      <c r="S7" s="27">
        <f>IF(AND(Calculations!$B$5&lt;=$A$16,Calculations!$B$7=Calculations!$E$51,Calculations!$B$6=$B7),$K56+(Calculations!$B$5-$A56)*(($K56-$K44)/($A56-$A44)),0)</f>
        <v>0</v>
      </c>
      <c r="T7" s="27">
        <f>IF(AND(Calculations!$B$5&gt;$A$16,Calculations!$B$7=Calculations!$E$51,Calculations!$B$6=$B7),$K68+(Calculations!$B$5-$A68)*(($K68-$K56)/($A68-$A56)),0)</f>
        <v>0</v>
      </c>
      <c r="U7" s="27">
        <f t="shared" si="2"/>
        <v>0</v>
      </c>
      <c r="V7" s="27">
        <f t="shared" si="3"/>
        <v>0</v>
      </c>
    </row>
    <row r="8" spans="1:22" ht="12.75">
      <c r="A8" s="27">
        <v>1219</v>
      </c>
      <c r="B8" s="27" t="s">
        <v>65</v>
      </c>
      <c r="C8" s="27">
        <v>396</v>
      </c>
      <c r="D8" s="27">
        <v>370</v>
      </c>
      <c r="E8" s="27">
        <v>802</v>
      </c>
      <c r="F8" s="27">
        <v>212</v>
      </c>
      <c r="G8" s="27">
        <v>44</v>
      </c>
      <c r="H8" s="27">
        <v>3613</v>
      </c>
      <c r="I8" s="27"/>
      <c r="J8" s="27">
        <f t="shared" si="0"/>
        <v>608</v>
      </c>
      <c r="K8" s="75">
        <f t="shared" si="1"/>
        <v>4829</v>
      </c>
      <c r="L8" s="23"/>
      <c r="M8" s="27">
        <f>IF(AND(Calculations!$B$5&lt;=$A$16,Calculations!$B$7=Calculations!$E$52,Calculations!$B$6=$B8),$J20+(Calculations!$B$5-$A20)*(($J20-$J8)/($A20-$A8)),0)</f>
        <v>0</v>
      </c>
      <c r="N8" s="27">
        <f>IF(AND(Calculations!$B$5&lt;=$A$16,Calculations!$B$7=Calculations!$E$52,Calculations!$B$6=$B8,Calculations!$B$8=Calculations!$E$48),$K20+(Calculations!$B$5-$A20)*(($K20-$K8)/($A20-$A8)),0)</f>
        <v>0</v>
      </c>
      <c r="O8" s="27">
        <f>IF(AND(Calculations!$B$5&lt;=$A$16,Calculations!$B$7=Calculations!$E$52,Calculations!$B$6=$B8,Calculations!$B$8=Calculations!$E$49),($K20+(Calculations!$B$5-$A20)*(($K20-$K8)/($A20-$A8)))-E8,0)</f>
        <v>0</v>
      </c>
      <c r="P8" s="27">
        <f>IF(AND(Calculations!$B$5&gt;$A$16,Calculations!$B$7=Calculations!$E$52,Calculations!$B$6=$B8),$J32+(Calculations!$B$5-$A32)*(($J32-$J32)/($A32-$A20)),0)</f>
        <v>0</v>
      </c>
      <c r="Q8" s="27">
        <f>IF(AND(Calculations!$B$5&gt;$A$16,Calculations!$B$7=Calculations!$E$52,Calculations!$B$6=$B8,Calculations!$B$8=Calculations!$E$48),$K32+(Calculations!$B$5-$A32)*(($K32-$K20)/($A32-$A20)),0)</f>
        <v>0</v>
      </c>
      <c r="R8" s="27">
        <f>IF(AND(Calculations!$B$5&gt;$A$16,Calculations!$B$7=Calculations!$E$52,Calculations!$B$6=$B8,Calculations!$B$8=Calculations!$E$49),$K32+(Calculations!$B$5-$A32)*(($K32-$K20)/($A32-$A20))-E20,0)</f>
        <v>0</v>
      </c>
      <c r="S8" s="27">
        <f>IF(AND(Calculations!$B$5&lt;=$A$16,Calculations!$B$7=Calculations!$E$51,Calculations!$B$6=$B8),$K57+(Calculations!$B$5-$A57)*(($K57-$K45)/($A57-$A45)),0)</f>
        <v>0</v>
      </c>
      <c r="T8" s="27">
        <f>IF(AND(Calculations!$B$5&gt;$A$16,Calculations!$B$7=Calculations!$E$51,Calculations!$B$6=$B8),$K69+(Calculations!$B$5-$A69)*(($K69-$K57)/($A69-$A57)),0)</f>
        <v>0</v>
      </c>
      <c r="U8" s="27">
        <f t="shared" si="2"/>
        <v>0</v>
      </c>
      <c r="V8" s="27">
        <f t="shared" si="3"/>
        <v>0</v>
      </c>
    </row>
    <row r="9" spans="1:22" ht="12.75">
      <c r="A9" s="27">
        <v>1219</v>
      </c>
      <c r="B9" s="27" t="s">
        <v>66</v>
      </c>
      <c r="C9" s="27">
        <v>329</v>
      </c>
      <c r="D9" s="27">
        <v>331</v>
      </c>
      <c r="E9" s="27">
        <v>947</v>
      </c>
      <c r="F9" s="27">
        <v>206</v>
      </c>
      <c r="G9" s="27">
        <v>44</v>
      </c>
      <c r="H9" s="27">
        <v>3613</v>
      </c>
      <c r="I9" s="27"/>
      <c r="J9" s="27">
        <f t="shared" si="0"/>
        <v>535</v>
      </c>
      <c r="K9" s="75">
        <f t="shared" si="1"/>
        <v>4935</v>
      </c>
      <c r="L9" s="23"/>
      <c r="M9" s="27">
        <f>IF(AND(Calculations!$B$5&lt;=$A$16,Calculations!$B$7=Calculations!$E$52,Calculations!$B$6=$B9),$J21+(Calculations!$B$5-$A21)*(($J21-$J9)/($A21-$A9)),0)</f>
        <v>0</v>
      </c>
      <c r="N9" s="27">
        <f>IF(AND(Calculations!$B$5&lt;=$A$16,Calculations!$B$7=Calculations!$E$52,Calculations!$B$6=$B9,Calculations!$B$8=Calculations!$E$48),$K21+(Calculations!$B$5-$A21)*(($K21-$K9)/($A21-$A9)),0)</f>
        <v>0</v>
      </c>
      <c r="O9" s="27">
        <f>IF(AND(Calculations!$B$5&lt;=$A$16,Calculations!$B$7=Calculations!$E$52,Calculations!$B$6=$B9,Calculations!$B$8=Calculations!$E$49),($K21+(Calculations!$B$5-$A21)*(($K21-$K9)/($A21-$A9)))-E9,0)</f>
        <v>0</v>
      </c>
      <c r="P9" s="27">
        <f>IF(AND(Calculations!$B$5&gt;$A$16,Calculations!$B$7=Calculations!$E$52,Calculations!$B$6=$B9),$J33+(Calculations!$B$5-$A33)*(($J33-$J33)/($A33-$A21)),0)</f>
        <v>0</v>
      </c>
      <c r="Q9" s="27">
        <f>IF(AND(Calculations!$B$5&gt;$A$16,Calculations!$B$7=Calculations!$E$52,Calculations!$B$6=$B9,Calculations!$B$8=Calculations!$E$48),$K33+(Calculations!$B$5-$A33)*(($K33-$K21)/($A33-$A21)),0)</f>
        <v>0</v>
      </c>
      <c r="R9" s="27">
        <f>IF(AND(Calculations!$B$5&gt;$A$16,Calculations!$B$7=Calculations!$E$52,Calculations!$B$6=$B9,Calculations!$B$8=Calculations!$E$49),$K33+(Calculations!$B$5-$A33)*(($K33-$K21)/($A33-$A21))-E21,0)</f>
        <v>0</v>
      </c>
      <c r="S9" s="27">
        <f>IF(AND(Calculations!$B$5&lt;=$A$16,Calculations!$B$7=Calculations!$E$51,Calculations!$B$6=$B9),$K58+(Calculations!$B$5-$A58)*(($K58-$K46)/($A58-$A46)),0)</f>
        <v>0</v>
      </c>
      <c r="T9" s="27">
        <f>IF(AND(Calculations!$B$5&gt;$A$16,Calculations!$B$7=Calculations!$E$51,Calculations!$B$6=$B9),$K70+(Calculations!$B$5-$A70)*(($K70-$K58)/($A70-$A58)),0)</f>
        <v>0</v>
      </c>
      <c r="U9" s="27">
        <f t="shared" si="2"/>
        <v>0</v>
      </c>
      <c r="V9" s="27">
        <f t="shared" si="3"/>
        <v>0</v>
      </c>
    </row>
    <row r="10" spans="1:22" ht="12.75">
      <c r="A10" s="27">
        <v>1219</v>
      </c>
      <c r="B10" s="27" t="s">
        <v>67</v>
      </c>
      <c r="C10" s="27">
        <v>317</v>
      </c>
      <c r="D10" s="27">
        <v>310</v>
      </c>
      <c r="E10" s="27">
        <v>1196</v>
      </c>
      <c r="F10" s="27">
        <v>202</v>
      </c>
      <c r="G10" s="27">
        <v>44</v>
      </c>
      <c r="H10" s="27">
        <v>3602</v>
      </c>
      <c r="I10" s="27"/>
      <c r="J10" s="27">
        <f t="shared" si="0"/>
        <v>519</v>
      </c>
      <c r="K10" s="75">
        <f t="shared" si="1"/>
        <v>5152</v>
      </c>
      <c r="L10" s="23"/>
      <c r="M10" s="27">
        <f>IF(AND(Calculations!$B$5&lt;=$A$16,Calculations!$B$7=Calculations!$E$52,Calculations!$B$6=$B10),$J22+(Calculations!$B$5-$A22)*(($J22-$J10)/($A22-$A10)),0)</f>
        <v>0</v>
      </c>
      <c r="N10" s="27">
        <f>IF(AND(Calculations!$B$5&lt;=$A$16,Calculations!$B$7=Calculations!$E$52,Calculations!$B$6=$B10,Calculations!$B$8=Calculations!$E$48),$K22+(Calculations!$B$5-$A22)*(($K22-$K10)/($A22-$A10)),0)</f>
        <v>0</v>
      </c>
      <c r="O10" s="27">
        <f>IF(AND(Calculations!$B$5&lt;=$A$16,Calculations!$B$7=Calculations!$E$52,Calculations!$B$6=$B10,Calculations!$B$8=Calculations!$E$49),($K22+(Calculations!$B$5-$A22)*(($K22-$K10)/($A22-$A10)))-E10,0)</f>
        <v>0</v>
      </c>
      <c r="P10" s="27">
        <f>IF(AND(Calculations!$B$5&gt;$A$16,Calculations!$B$7=Calculations!$E$52,Calculations!$B$6=$B10),$J34+(Calculations!$B$5-$A34)*(($J34-$J34)/($A34-$A22)),0)</f>
        <v>0</v>
      </c>
      <c r="Q10" s="27">
        <f>IF(AND(Calculations!$B$5&gt;$A$16,Calculations!$B$7=Calculations!$E$52,Calculations!$B$6=$B10,Calculations!$B$8=Calculations!$E$48),$K34+(Calculations!$B$5-$A34)*(($K34-$K22)/($A34-$A22)),0)</f>
        <v>0</v>
      </c>
      <c r="R10" s="27">
        <f>IF(AND(Calculations!$B$5&gt;$A$16,Calculations!$B$7=Calculations!$E$52,Calculations!$B$6=$B10,Calculations!$B$8=Calculations!$E$49),$K34+(Calculations!$B$5-$A34)*(($K34-$K22)/($A34-$A22))-E22,0)</f>
        <v>0</v>
      </c>
      <c r="S10" s="27">
        <f>IF(AND(Calculations!$B$5&lt;=$A$16,Calculations!$B$7=Calculations!$E$51,Calculations!$B$6=$B10),$K59+(Calculations!$B$5-$A59)*(($K59-$K47)/($A59-$A47)),0)</f>
        <v>0</v>
      </c>
      <c r="T10" s="27">
        <f>IF(AND(Calculations!$B$5&gt;$A$16,Calculations!$B$7=Calculations!$E$51,Calculations!$B$6=$B10),$K71+(Calculations!$B$5-$A71)*(($K71-$K59)/($A71-$A59)),0)</f>
        <v>0</v>
      </c>
      <c r="U10" s="27">
        <f t="shared" si="2"/>
        <v>0</v>
      </c>
      <c r="V10" s="27">
        <f t="shared" si="3"/>
        <v>0</v>
      </c>
    </row>
    <row r="11" spans="1:22" ht="12.75">
      <c r="A11" s="27">
        <v>1219</v>
      </c>
      <c r="B11" s="27" t="s">
        <v>68</v>
      </c>
      <c r="C11" s="27">
        <v>394</v>
      </c>
      <c r="D11" s="27">
        <v>364</v>
      </c>
      <c r="E11" s="27">
        <v>878</v>
      </c>
      <c r="F11" s="27">
        <v>215</v>
      </c>
      <c r="G11" s="27">
        <v>44</v>
      </c>
      <c r="H11" s="27">
        <v>3602</v>
      </c>
      <c r="I11" s="27"/>
      <c r="J11" s="27">
        <f t="shared" si="0"/>
        <v>609</v>
      </c>
      <c r="K11" s="75">
        <f t="shared" si="1"/>
        <v>4888</v>
      </c>
      <c r="L11" s="23"/>
      <c r="M11" s="27">
        <f>IF(AND(Calculations!$B$5&lt;=$A$16,Calculations!$B$7=Calculations!$E$52,Calculations!$B$6=$B11),$J23+(Calculations!$B$5-$A23)*(($J23-$J11)/($A23-$A11)),0)</f>
        <v>0</v>
      </c>
      <c r="N11" s="27">
        <f>IF(AND(Calculations!$B$5&lt;=$A$16,Calculations!$B$7=Calculations!$E$52,Calculations!$B$6=$B11,Calculations!$B$8=Calculations!$E$48),$K23+(Calculations!$B$5-$A23)*(($K23-$K11)/($A23-$A11)),0)</f>
        <v>0</v>
      </c>
      <c r="O11" s="27">
        <f>IF(AND(Calculations!$B$5&lt;=$A$16,Calculations!$B$7=Calculations!$E$52,Calculations!$B$6=$B11,Calculations!$B$8=Calculations!$E$49),($K23+(Calculations!$B$5-$A23)*(($K23-$K11)/($A23-$A11)))-E11,0)</f>
        <v>0</v>
      </c>
      <c r="P11" s="27">
        <f>IF(AND(Calculations!$B$5&gt;$A$16,Calculations!$B$7=Calculations!$E$52,Calculations!$B$6=$B11),$J35+(Calculations!$B$5-$A35)*(($J35-$J35)/($A35-$A23)),0)</f>
        <v>0</v>
      </c>
      <c r="Q11" s="27">
        <f>IF(AND(Calculations!$B$5&gt;$A$16,Calculations!$B$7=Calculations!$E$52,Calculations!$B$6=$B11,Calculations!$B$8=Calculations!$E$48),$K35+(Calculations!$B$5-$A35)*(($K35-$K23)/($A35-$A23)),0)</f>
        <v>0</v>
      </c>
      <c r="R11" s="27">
        <f>IF(AND(Calculations!$B$5&gt;$A$16,Calculations!$B$7=Calculations!$E$52,Calculations!$B$6=$B11,Calculations!$B$8=Calculations!$E$49),$K35+(Calculations!$B$5-$A35)*(($K35-$K23)/($A35-$A23))-E23,0)</f>
        <v>0</v>
      </c>
      <c r="S11" s="27">
        <f>IF(AND(Calculations!$B$5&lt;=$A$16,Calculations!$B$7=Calculations!$E$51,Calculations!$B$6=$B11),$K60+(Calculations!$B$5-$A60)*(($K60-$K48)/($A60-$A48)),0)</f>
        <v>0</v>
      </c>
      <c r="T11" s="27">
        <f>IF(AND(Calculations!$B$5&gt;$A$16,Calculations!$B$7=Calculations!$E$51,Calculations!$B$6=$B11),$K72+(Calculations!$B$5-$A72)*(($K72-$K60)/($A72-$A60)),0)</f>
        <v>0</v>
      </c>
      <c r="U11" s="27">
        <f t="shared" si="2"/>
        <v>0</v>
      </c>
      <c r="V11" s="27">
        <f t="shared" si="3"/>
        <v>0</v>
      </c>
    </row>
    <row r="12" spans="1:22" ht="12.75">
      <c r="A12" s="27">
        <v>1219</v>
      </c>
      <c r="B12" s="27" t="s">
        <v>69</v>
      </c>
      <c r="C12" s="27">
        <v>449</v>
      </c>
      <c r="D12" s="27">
        <v>411</v>
      </c>
      <c r="E12" s="27">
        <v>731</v>
      </c>
      <c r="F12" s="27">
        <v>221</v>
      </c>
      <c r="G12" s="27">
        <v>44</v>
      </c>
      <c r="H12" s="27">
        <v>3602</v>
      </c>
      <c r="I12" s="27"/>
      <c r="J12" s="27">
        <f t="shared" si="0"/>
        <v>670</v>
      </c>
      <c r="K12" s="75">
        <f t="shared" si="1"/>
        <v>4788</v>
      </c>
      <c r="L12" s="23"/>
      <c r="M12" s="27">
        <f>IF(AND(Calculations!$B$5&lt;=$A$16,Calculations!$B$7=Calculations!$E$52,Calculations!$B$6=$B12),$J24+(Calculations!$B$5-$A24)*(($J24-$J12)/($A24-$A12)),0)</f>
        <v>0</v>
      </c>
      <c r="N12" s="27">
        <f>IF(AND(Calculations!$B$5&lt;=$A$16,Calculations!$B$7=Calculations!$E$52,Calculations!$B$6=$B12,Calculations!$B$8=Calculations!$E$48),$K24+(Calculations!$B$5-$A24)*(($K24-$K12)/($A24-$A12)),0)</f>
        <v>0</v>
      </c>
      <c r="O12" s="27">
        <f>IF(AND(Calculations!$B$5&lt;=$A$16,Calculations!$B$7=Calculations!$E$52,Calculations!$B$6=$B12,Calculations!$B$8=Calculations!$E$49),($K24+(Calculations!$B$5-$A24)*(($K24-$K12)/($A24-$A12)))-E12,0)</f>
        <v>0</v>
      </c>
      <c r="P12" s="27">
        <f>IF(AND(Calculations!$B$5&gt;$A$16,Calculations!$B$7=Calculations!$E$52,Calculations!$B$6=$B12),$J36+(Calculations!$B$5-$A36)*(($J36-$J36)/($A36-$A24)),0)</f>
        <v>0</v>
      </c>
      <c r="Q12" s="27">
        <f>IF(AND(Calculations!$B$5&gt;$A$16,Calculations!$B$7=Calculations!$E$52,Calculations!$B$6=$B12,Calculations!$B$8=Calculations!$E$48),$K36+(Calculations!$B$5-$A36)*(($K36-$K24)/($A36-$A24)),0)</f>
        <v>0</v>
      </c>
      <c r="R12" s="27">
        <f>IF(AND(Calculations!$B$5&gt;$A$16,Calculations!$B$7=Calculations!$E$52,Calculations!$B$6=$B12,Calculations!$B$8=Calculations!$E$49),$K36+(Calculations!$B$5-$A36)*(($K36-$K24)/($A36-$A24))-E24,0)</f>
        <v>0</v>
      </c>
      <c r="S12" s="27">
        <f>IF(AND(Calculations!$B$5&lt;=$A$16,Calculations!$B$7=Calculations!$E$51,Calculations!$B$6=$B12),$K61+(Calculations!$B$5-$A61)*(($K61-$K49)/($A61-$A49)),0)</f>
        <v>0</v>
      </c>
      <c r="T12" s="27">
        <f>IF(AND(Calculations!$B$5&gt;$A$16,Calculations!$B$7=Calculations!$E$51,Calculations!$B$6=$B12),$K73+(Calculations!$B$5-$A73)*(($K73-$K61)/($A73-$A61)),0)</f>
        <v>0</v>
      </c>
      <c r="U12" s="27">
        <f t="shared" si="2"/>
        <v>0</v>
      </c>
      <c r="V12" s="27">
        <f t="shared" si="3"/>
        <v>0</v>
      </c>
    </row>
    <row r="13" spans="1:22" ht="12.75">
      <c r="A13" s="27">
        <v>1219</v>
      </c>
      <c r="B13" s="27" t="s">
        <v>70</v>
      </c>
      <c r="C13" s="27">
        <v>440</v>
      </c>
      <c r="D13" s="27">
        <v>403</v>
      </c>
      <c r="E13" s="27">
        <v>632</v>
      </c>
      <c r="F13" s="27">
        <v>221</v>
      </c>
      <c r="G13" s="27">
        <v>44</v>
      </c>
      <c r="H13" s="27">
        <v>3602</v>
      </c>
      <c r="I13" s="27"/>
      <c r="J13" s="27">
        <f t="shared" si="0"/>
        <v>661</v>
      </c>
      <c r="K13" s="75">
        <f t="shared" si="1"/>
        <v>4681</v>
      </c>
      <c r="L13" s="23"/>
      <c r="M13" s="27">
        <f>IF(AND(Calculations!$B$5&lt;=$A$16,Calculations!$B$7=Calculations!$E$52,Calculations!$B$6=$B13),$J25+(Calculations!$B$5-$A25)*(($J25-$J13)/($A25-$A13)),0)</f>
        <v>0</v>
      </c>
      <c r="N13" s="27">
        <f>IF(AND(Calculations!$B$5&lt;=$A$16,Calculations!$B$7=Calculations!$E$52,Calculations!$B$6=$B13,Calculations!$B$8=Calculations!$E$48),$K25+(Calculations!$B$5-$A25)*(($K25-$K13)/($A25-$A13)),0)</f>
        <v>0</v>
      </c>
      <c r="O13" s="27">
        <f>IF(AND(Calculations!$B$5&lt;=$A$16,Calculations!$B$7=Calculations!$E$52,Calculations!$B$6=$B13,Calculations!$B$8=Calculations!$E$49),($K25+(Calculations!$B$5-$A25)*(($K25-$K13)/($A25-$A13)))-E13,0)</f>
        <v>0</v>
      </c>
      <c r="P13" s="27">
        <f>IF(AND(Calculations!$B$5&gt;$A$16,Calculations!$B$7=Calculations!$E$52,Calculations!$B$6=$B13),$J37+(Calculations!$B$5-$A37)*(($J37-$J37)/($A37-$A25)),0)</f>
        <v>0</v>
      </c>
      <c r="Q13" s="27">
        <f>IF(AND(Calculations!$B$5&gt;$A$16,Calculations!$B$7=Calculations!$E$52,Calculations!$B$6=$B13,Calculations!$B$8=Calculations!$E$48),$K37+(Calculations!$B$5-$A37)*(($K37-$K25)/($A37-$A25)),0)</f>
        <v>0</v>
      </c>
      <c r="R13" s="27">
        <f>IF(AND(Calculations!$B$5&gt;$A$16,Calculations!$B$7=Calculations!$E$52,Calculations!$B$6=$B13,Calculations!$B$8=Calculations!$E$49),$K37+(Calculations!$B$5-$A37)*(($K37-$K25)/($A37-$A25))-E25,0)</f>
        <v>0</v>
      </c>
      <c r="S13" s="27">
        <f>IF(AND(Calculations!$B$5&lt;=$A$16,Calculations!$B$7=Calculations!$E$51,Calculations!$B$6=$B13),$K62+(Calculations!$B$5-$A62)*(($K62-$K50)/($A62-$A50)),0)</f>
        <v>0</v>
      </c>
      <c r="T13" s="27">
        <f>IF(AND(Calculations!$B$5&gt;$A$16,Calculations!$B$7=Calculations!$E$51,Calculations!$B$6=$B13),$K74+(Calculations!$B$5-$A74)*(($K74-$K62)/($A74-$A62)),0)</f>
        <v>0</v>
      </c>
      <c r="U13" s="27">
        <f t="shared" si="2"/>
        <v>0</v>
      </c>
      <c r="V13" s="27">
        <f t="shared" si="3"/>
        <v>0</v>
      </c>
    </row>
    <row r="14" spans="1:22" ht="12.75">
      <c r="A14" s="27">
        <v>1219</v>
      </c>
      <c r="B14" s="27" t="s">
        <v>71</v>
      </c>
      <c r="C14" s="27">
        <v>395</v>
      </c>
      <c r="D14" s="27">
        <v>370</v>
      </c>
      <c r="E14" s="27">
        <v>925</v>
      </c>
      <c r="F14" s="27">
        <v>215</v>
      </c>
      <c r="G14" s="27">
        <v>44</v>
      </c>
      <c r="H14" s="27">
        <v>3602</v>
      </c>
      <c r="I14" s="27"/>
      <c r="J14" s="27">
        <f t="shared" si="0"/>
        <v>610</v>
      </c>
      <c r="K14" s="75">
        <f t="shared" si="1"/>
        <v>4941</v>
      </c>
      <c r="L14" s="23"/>
      <c r="M14" s="27">
        <f>IF(AND(Calculations!$B$5&lt;=$A$16,Calculations!$B$7=Calculations!$E$52,Calculations!$B$6=$B14),$J26+(Calculations!$B$5-$A26)*(($J26-$J14)/($A26-$A14)),0)</f>
        <v>0</v>
      </c>
      <c r="N14" s="27">
        <f>IF(AND(Calculations!$B$5&lt;=$A$16,Calculations!$B$7=Calculations!$E$52,Calculations!$B$6=$B14,Calculations!$B$8=Calculations!$E$48),$K26+(Calculations!$B$5-$A26)*(($K26-$K14)/($A26-$A14)),0)</f>
        <v>0</v>
      </c>
      <c r="O14" s="27">
        <f>IF(AND(Calculations!$B$5&lt;=$A$16,Calculations!$B$7=Calculations!$E$52,Calculations!$B$6=$B14,Calculations!$B$8=Calculations!$E$49),($K26+(Calculations!$B$5-$A26)*(($K26-$K14)/($A26-$A14)))-E14,0)</f>
        <v>0</v>
      </c>
      <c r="P14" s="27">
        <f>IF(AND(Calculations!$B$5&gt;$A$16,Calculations!$B$7=Calculations!$E$52,Calculations!$B$6=$B14),$J38+(Calculations!$B$5-$A38)*(($J38-$J38)/($A38-$A26)),0)</f>
        <v>0</v>
      </c>
      <c r="Q14" s="27">
        <f>IF(AND(Calculations!$B$5&gt;$A$16,Calculations!$B$7=Calculations!$E$52,Calculations!$B$6=$B14,Calculations!$B$8=Calculations!$E$48),$K38+(Calculations!$B$5-$A38)*(($K38-$K26)/($A38-$A26)),0)</f>
        <v>0</v>
      </c>
      <c r="R14" s="27">
        <f>IF(AND(Calculations!$B$5&gt;$A$16,Calculations!$B$7=Calculations!$E$52,Calculations!$B$6=$B14,Calculations!$B$8=Calculations!$E$49),$K38+(Calculations!$B$5-$A38)*(($K38-$K26)/($A38-$A26))-E26,0)</f>
        <v>0</v>
      </c>
      <c r="S14" s="27">
        <f>IF(AND(Calculations!$B$5&lt;=$A$16,Calculations!$B$7=Calculations!$E$51,Calculations!$B$6=$B14),$K63+(Calculations!$B$5-$A63)*(($K63-$K51)/($A63-$A51)),0)</f>
        <v>0</v>
      </c>
      <c r="T14" s="27">
        <f>IF(AND(Calculations!$B$5&gt;$A$16,Calculations!$B$7=Calculations!$E$51,Calculations!$B$6=$B14),$K75+(Calculations!$B$5-$A75)*(($K75-$K63)/($A75-$A63)),0)</f>
        <v>0</v>
      </c>
      <c r="U14" s="27">
        <f t="shared" si="2"/>
        <v>0</v>
      </c>
      <c r="V14" s="27">
        <f t="shared" si="3"/>
        <v>0</v>
      </c>
    </row>
    <row r="15" spans="1:22" ht="12.75">
      <c r="A15" s="27"/>
      <c r="B15" s="27"/>
      <c r="C15" s="27"/>
      <c r="D15" s="27"/>
      <c r="E15" s="27"/>
      <c r="F15" s="27"/>
      <c r="G15" s="27"/>
      <c r="H15" s="27"/>
      <c r="I15" s="27"/>
      <c r="J15" s="27"/>
      <c r="K15" s="75"/>
      <c r="L15" s="23"/>
      <c r="M15" s="27"/>
      <c r="N15" s="27"/>
      <c r="O15" s="27"/>
      <c r="P15" s="27"/>
      <c r="Q15" s="27"/>
      <c r="R15" s="27"/>
      <c r="S15" s="27"/>
      <c r="T15" s="27"/>
      <c r="U15" s="27">
        <f>SUM(U4:U14)</f>
        <v>683.952</v>
      </c>
      <c r="V15" s="27">
        <f>SUM(V4:V14)</f>
        <v>8503.446</v>
      </c>
    </row>
    <row r="16" spans="1:22" ht="12.75">
      <c r="A16" s="27">
        <v>2719</v>
      </c>
      <c r="B16" s="27" t="s">
        <v>6</v>
      </c>
      <c r="C16" s="27">
        <v>506</v>
      </c>
      <c r="D16" s="27">
        <v>509</v>
      </c>
      <c r="E16" s="27">
        <v>1269</v>
      </c>
      <c r="F16" s="27">
        <v>220</v>
      </c>
      <c r="G16" s="27">
        <v>44</v>
      </c>
      <c r="H16" s="27">
        <v>7331</v>
      </c>
      <c r="I16" s="27"/>
      <c r="J16" s="27">
        <f aca="true" t="shared" si="4" ref="J16:J26">C16+F16</f>
        <v>726</v>
      </c>
      <c r="K16" s="75">
        <f aca="true" t="shared" si="5" ref="K16:K26">D16+E16+G16+H16</f>
        <v>9153</v>
      </c>
      <c r="L16" s="23"/>
      <c r="M16" s="23"/>
      <c r="N16" s="23"/>
      <c r="O16" s="23"/>
      <c r="P16" s="23"/>
      <c r="Q16" s="23"/>
      <c r="R16" s="23"/>
      <c r="S16" s="23"/>
      <c r="T16" s="23"/>
      <c r="U16" s="23"/>
      <c r="V16" s="23"/>
    </row>
    <row r="17" spans="1:22" ht="12.75">
      <c r="A17" s="27">
        <v>2719</v>
      </c>
      <c r="B17" s="27" t="s">
        <v>62</v>
      </c>
      <c r="C17" s="27">
        <v>530</v>
      </c>
      <c r="D17" s="27">
        <v>506</v>
      </c>
      <c r="E17" s="27">
        <v>1695</v>
      </c>
      <c r="F17" s="27">
        <v>220</v>
      </c>
      <c r="G17" s="27">
        <v>44</v>
      </c>
      <c r="H17" s="27">
        <v>7331</v>
      </c>
      <c r="I17" s="27"/>
      <c r="J17" s="27">
        <f t="shared" si="4"/>
        <v>750</v>
      </c>
      <c r="K17" s="75">
        <f t="shared" si="5"/>
        <v>9576</v>
      </c>
      <c r="L17" s="23"/>
      <c r="M17" s="23"/>
      <c r="N17" s="23"/>
      <c r="O17" s="23"/>
      <c r="P17" s="23"/>
      <c r="Q17" s="23"/>
      <c r="R17" s="23"/>
      <c r="S17" s="23"/>
      <c r="T17" s="23"/>
      <c r="U17" s="23"/>
      <c r="V17" s="23"/>
    </row>
    <row r="18" spans="1:22" ht="12.75">
      <c r="A18" s="27">
        <v>2719</v>
      </c>
      <c r="B18" s="27" t="s">
        <v>63</v>
      </c>
      <c r="C18" s="27">
        <v>693</v>
      </c>
      <c r="D18" s="27">
        <v>666</v>
      </c>
      <c r="E18" s="27">
        <v>1252</v>
      </c>
      <c r="F18" s="27">
        <v>234</v>
      </c>
      <c r="G18" s="27">
        <v>44</v>
      </c>
      <c r="H18" s="27">
        <v>7331</v>
      </c>
      <c r="I18" s="27"/>
      <c r="J18" s="27">
        <f t="shared" si="4"/>
        <v>927</v>
      </c>
      <c r="K18" s="75">
        <f t="shared" si="5"/>
        <v>9293</v>
      </c>
      <c r="L18" s="23"/>
      <c r="M18" s="23"/>
      <c r="N18" s="23"/>
      <c r="O18" s="23"/>
      <c r="P18" s="23"/>
      <c r="Q18" s="23"/>
      <c r="R18" s="23"/>
      <c r="S18" s="23"/>
      <c r="T18" s="23"/>
      <c r="U18" s="23"/>
      <c r="V18" s="23"/>
    </row>
    <row r="19" spans="1:22" ht="12.75">
      <c r="A19" s="27">
        <v>2719</v>
      </c>
      <c r="B19" s="27" t="s">
        <v>64</v>
      </c>
      <c r="C19" s="27">
        <v>497</v>
      </c>
      <c r="D19" s="27">
        <v>558</v>
      </c>
      <c r="E19" s="27">
        <v>947</v>
      </c>
      <c r="F19" s="27">
        <v>220</v>
      </c>
      <c r="G19" s="27">
        <v>44</v>
      </c>
      <c r="H19" s="27">
        <v>7331</v>
      </c>
      <c r="I19" s="27"/>
      <c r="J19" s="27">
        <f t="shared" si="4"/>
        <v>717</v>
      </c>
      <c r="K19" s="75">
        <f t="shared" si="5"/>
        <v>8880</v>
      </c>
      <c r="L19" s="23"/>
      <c r="M19" s="23"/>
      <c r="N19" s="23"/>
      <c r="O19" s="23"/>
      <c r="P19" s="23"/>
      <c r="Q19" s="23"/>
      <c r="R19" s="23"/>
      <c r="S19" s="23"/>
      <c r="T19" s="23"/>
      <c r="U19" s="23"/>
      <c r="V19" s="23"/>
    </row>
    <row r="20" spans="1:22" ht="12.75">
      <c r="A20" s="27">
        <v>2719</v>
      </c>
      <c r="B20" s="27" t="s">
        <v>65</v>
      </c>
      <c r="C20" s="27">
        <v>816</v>
      </c>
      <c r="D20" s="27">
        <v>691</v>
      </c>
      <c r="E20" s="27">
        <v>1333</v>
      </c>
      <c r="F20" s="27">
        <v>238</v>
      </c>
      <c r="G20" s="27">
        <v>44</v>
      </c>
      <c r="H20" s="27">
        <v>7331</v>
      </c>
      <c r="I20" s="27"/>
      <c r="J20" s="27">
        <f t="shared" si="4"/>
        <v>1054</v>
      </c>
      <c r="K20" s="75">
        <f t="shared" si="5"/>
        <v>9399</v>
      </c>
      <c r="L20" s="23"/>
      <c r="M20" s="23"/>
      <c r="N20" s="23"/>
      <c r="O20" s="23"/>
      <c r="P20" s="23"/>
      <c r="Q20" s="23"/>
      <c r="R20" s="23"/>
      <c r="S20" s="23"/>
      <c r="T20" s="23"/>
      <c r="U20" s="23"/>
      <c r="V20" s="23"/>
    </row>
    <row r="21" spans="1:22" ht="12.75">
      <c r="A21" s="27">
        <v>2719</v>
      </c>
      <c r="B21" s="27" t="s">
        <v>66</v>
      </c>
      <c r="C21" s="27">
        <v>679</v>
      </c>
      <c r="D21" s="27">
        <v>617</v>
      </c>
      <c r="E21" s="27">
        <v>1576</v>
      </c>
      <c r="F21" s="27">
        <v>231</v>
      </c>
      <c r="G21" s="27">
        <v>44</v>
      </c>
      <c r="H21" s="27">
        <v>7331</v>
      </c>
      <c r="I21" s="27"/>
      <c r="J21" s="27">
        <f t="shared" si="4"/>
        <v>910</v>
      </c>
      <c r="K21" s="75">
        <f t="shared" si="5"/>
        <v>9568</v>
      </c>
      <c r="L21" s="23"/>
      <c r="M21" s="23"/>
      <c r="N21" s="23"/>
      <c r="O21" s="23"/>
      <c r="P21" s="23"/>
      <c r="Q21" s="23"/>
      <c r="R21" s="23"/>
      <c r="S21" s="23"/>
      <c r="T21" s="23"/>
      <c r="U21" s="23"/>
      <c r="V21" s="23"/>
    </row>
    <row r="22" spans="1:22" ht="12.75">
      <c r="A22" s="27">
        <v>2719</v>
      </c>
      <c r="B22" s="27" t="s">
        <v>67</v>
      </c>
      <c r="C22" s="27">
        <v>655</v>
      </c>
      <c r="D22" s="27">
        <v>578</v>
      </c>
      <c r="E22" s="27">
        <v>2008</v>
      </c>
      <c r="F22" s="27">
        <v>227</v>
      </c>
      <c r="G22" s="27">
        <v>44</v>
      </c>
      <c r="H22" s="27">
        <v>7331</v>
      </c>
      <c r="I22" s="27"/>
      <c r="J22" s="27">
        <f t="shared" si="4"/>
        <v>882</v>
      </c>
      <c r="K22" s="75">
        <f t="shared" si="5"/>
        <v>9961</v>
      </c>
      <c r="L22" s="23"/>
      <c r="M22" s="23"/>
      <c r="N22" s="23"/>
      <c r="O22" s="23"/>
      <c r="P22" s="23"/>
      <c r="Q22" s="23"/>
      <c r="R22" s="23"/>
      <c r="S22" s="23"/>
      <c r="T22" s="23"/>
      <c r="U22" s="23"/>
      <c r="V22" s="23"/>
    </row>
    <row r="23" spans="1:22" ht="12.75">
      <c r="A23" s="27">
        <v>2719</v>
      </c>
      <c r="B23" s="27" t="s">
        <v>68</v>
      </c>
      <c r="C23" s="27">
        <v>814</v>
      </c>
      <c r="D23" s="27">
        <v>685</v>
      </c>
      <c r="E23" s="27">
        <v>1454</v>
      </c>
      <c r="F23" s="27">
        <v>241</v>
      </c>
      <c r="G23" s="27">
        <v>44</v>
      </c>
      <c r="H23" s="27">
        <v>7331</v>
      </c>
      <c r="I23" s="27"/>
      <c r="J23" s="27">
        <f t="shared" si="4"/>
        <v>1055</v>
      </c>
      <c r="K23" s="75">
        <f t="shared" si="5"/>
        <v>9514</v>
      </c>
      <c r="L23" s="23"/>
      <c r="M23" s="23"/>
      <c r="N23" s="23"/>
      <c r="O23" s="23"/>
      <c r="P23" s="23"/>
      <c r="Q23" s="23"/>
      <c r="R23" s="23"/>
      <c r="S23" s="23"/>
      <c r="T23" s="23"/>
      <c r="U23" s="23"/>
      <c r="V23" s="23"/>
    </row>
    <row r="24" spans="1:22" ht="12.75">
      <c r="A24" s="27">
        <v>2719</v>
      </c>
      <c r="B24" s="27" t="s">
        <v>69</v>
      </c>
      <c r="C24" s="27">
        <v>1146</v>
      </c>
      <c r="D24" s="27">
        <v>892</v>
      </c>
      <c r="E24" s="27">
        <v>1176</v>
      </c>
      <c r="F24" s="27">
        <v>249</v>
      </c>
      <c r="G24" s="27">
        <v>44</v>
      </c>
      <c r="H24" s="27">
        <v>10684</v>
      </c>
      <c r="I24" s="27"/>
      <c r="J24" s="27">
        <f t="shared" si="4"/>
        <v>1395</v>
      </c>
      <c r="K24" s="75">
        <f t="shared" si="5"/>
        <v>12796</v>
      </c>
      <c r="L24" s="23"/>
      <c r="M24" s="23"/>
      <c r="N24" s="23"/>
      <c r="O24" s="23"/>
      <c r="P24" s="23"/>
      <c r="Q24" s="23"/>
      <c r="R24" s="23"/>
      <c r="S24" s="23"/>
      <c r="T24" s="23"/>
      <c r="U24" s="23"/>
      <c r="V24" s="23"/>
    </row>
    <row r="25" spans="1:22" ht="12.75">
      <c r="A25" s="27">
        <v>2719</v>
      </c>
      <c r="B25" s="27" t="s">
        <v>70</v>
      </c>
      <c r="C25" s="27">
        <v>1118</v>
      </c>
      <c r="D25" s="27">
        <v>867</v>
      </c>
      <c r="E25" s="27">
        <v>985</v>
      </c>
      <c r="F25" s="27">
        <v>249</v>
      </c>
      <c r="G25" s="27">
        <v>44</v>
      </c>
      <c r="H25" s="27">
        <v>10684</v>
      </c>
      <c r="I25" s="27"/>
      <c r="J25" s="27">
        <f t="shared" si="4"/>
        <v>1367</v>
      </c>
      <c r="K25" s="75">
        <f t="shared" si="5"/>
        <v>12580</v>
      </c>
      <c r="L25" s="23"/>
      <c r="M25" s="23"/>
      <c r="N25" s="23"/>
      <c r="O25" s="23"/>
      <c r="P25" s="23"/>
      <c r="Q25" s="23"/>
      <c r="R25" s="23"/>
      <c r="S25" s="23"/>
      <c r="T25" s="23"/>
      <c r="U25" s="23"/>
      <c r="V25" s="23"/>
    </row>
    <row r="26" spans="1:22" ht="12.75">
      <c r="A26" s="27">
        <v>2719</v>
      </c>
      <c r="B26" s="27" t="s">
        <v>71</v>
      </c>
      <c r="C26" s="27">
        <v>1007</v>
      </c>
      <c r="D26" s="27">
        <v>803</v>
      </c>
      <c r="E26" s="27">
        <v>1508</v>
      </c>
      <c r="F26" s="27">
        <v>242</v>
      </c>
      <c r="G26" s="27">
        <v>44</v>
      </c>
      <c r="H26" s="27">
        <v>10684</v>
      </c>
      <c r="I26" s="27"/>
      <c r="J26" s="27">
        <f t="shared" si="4"/>
        <v>1249</v>
      </c>
      <c r="K26" s="75">
        <f t="shared" si="5"/>
        <v>13039</v>
      </c>
      <c r="L26" s="23"/>
      <c r="M26" s="23"/>
      <c r="N26" s="23"/>
      <c r="O26" s="23"/>
      <c r="P26" s="23"/>
      <c r="Q26" s="23"/>
      <c r="R26" s="23"/>
      <c r="S26" s="23"/>
      <c r="T26" s="23"/>
      <c r="U26" s="23"/>
      <c r="V26" s="23"/>
    </row>
    <row r="27" spans="1:22" ht="12.75">
      <c r="A27" s="27"/>
      <c r="B27" s="27"/>
      <c r="C27" s="27"/>
      <c r="D27" s="27"/>
      <c r="E27" s="27"/>
      <c r="F27" s="27"/>
      <c r="G27" s="27"/>
      <c r="H27" s="27"/>
      <c r="I27" s="27"/>
      <c r="J27" s="27"/>
      <c r="K27" s="75"/>
      <c r="L27" s="23"/>
      <c r="M27" s="23"/>
      <c r="N27" s="23"/>
      <c r="O27" s="23"/>
      <c r="P27" s="23"/>
      <c r="Q27" s="23"/>
      <c r="R27" s="23"/>
      <c r="S27" s="23"/>
      <c r="T27" s="23"/>
      <c r="U27" s="23"/>
      <c r="V27" s="23"/>
    </row>
    <row r="28" spans="1:22" ht="12.75">
      <c r="A28" s="27">
        <v>3159</v>
      </c>
      <c r="B28" s="27" t="s">
        <v>6</v>
      </c>
      <c r="C28" s="27">
        <v>649</v>
      </c>
      <c r="D28" s="27">
        <v>619</v>
      </c>
      <c r="E28" s="27">
        <v>1541</v>
      </c>
      <c r="F28" s="27">
        <v>220</v>
      </c>
      <c r="G28" s="27">
        <v>44</v>
      </c>
      <c r="H28" s="27">
        <v>8487</v>
      </c>
      <c r="I28" s="27"/>
      <c r="J28" s="27">
        <f aca="true" t="shared" si="6" ref="J28:J38">C28+F28</f>
        <v>869</v>
      </c>
      <c r="K28" s="75">
        <f aca="true" t="shared" si="7" ref="K28:K38">D28+E28+G28+H28</f>
        <v>10691</v>
      </c>
      <c r="L28" s="23"/>
      <c r="M28" s="23"/>
      <c r="N28" s="23"/>
      <c r="O28" s="23"/>
      <c r="P28" s="23"/>
      <c r="Q28" s="23"/>
      <c r="R28" s="23"/>
      <c r="S28" s="23"/>
      <c r="T28" s="23"/>
      <c r="U28" s="23"/>
      <c r="V28" s="23"/>
    </row>
    <row r="29" spans="1:22" ht="12.75">
      <c r="A29" s="27">
        <v>3159</v>
      </c>
      <c r="B29" s="27" t="s">
        <v>62</v>
      </c>
      <c r="C29" s="27">
        <v>643</v>
      </c>
      <c r="D29" s="27">
        <v>636</v>
      </c>
      <c r="E29" s="27">
        <v>2054</v>
      </c>
      <c r="F29" s="27">
        <v>220</v>
      </c>
      <c r="G29" s="27">
        <v>44</v>
      </c>
      <c r="H29" s="27">
        <v>8487</v>
      </c>
      <c r="I29" s="27"/>
      <c r="J29" s="27">
        <f t="shared" si="6"/>
        <v>863</v>
      </c>
      <c r="K29" s="75">
        <f t="shared" si="7"/>
        <v>11221</v>
      </c>
      <c r="L29" s="23"/>
      <c r="M29" s="23"/>
      <c r="N29" s="23"/>
      <c r="O29" s="23"/>
      <c r="P29" s="23"/>
      <c r="Q29" s="23"/>
      <c r="R29" s="23"/>
      <c r="S29" s="23"/>
      <c r="T29" s="23"/>
      <c r="U29" s="23"/>
      <c r="V29" s="23"/>
    </row>
    <row r="30" spans="1:22" ht="12.75">
      <c r="A30" s="27">
        <v>3159</v>
      </c>
      <c r="B30" s="27" t="s">
        <v>63</v>
      </c>
      <c r="C30" s="27">
        <v>835</v>
      </c>
      <c r="D30" s="27">
        <v>834</v>
      </c>
      <c r="E30" s="27">
        <v>1555</v>
      </c>
      <c r="F30" s="27">
        <v>234</v>
      </c>
      <c r="G30" s="27">
        <v>44</v>
      </c>
      <c r="H30" s="27">
        <v>8487</v>
      </c>
      <c r="I30" s="27"/>
      <c r="J30" s="27">
        <f t="shared" si="6"/>
        <v>1069</v>
      </c>
      <c r="K30" s="75">
        <f t="shared" si="7"/>
        <v>10920</v>
      </c>
      <c r="L30" s="23"/>
      <c r="M30" s="23"/>
      <c r="N30" s="23"/>
      <c r="O30" s="23"/>
      <c r="P30" s="23"/>
      <c r="Q30" s="23"/>
      <c r="R30" s="23"/>
      <c r="S30" s="23"/>
      <c r="T30" s="23"/>
      <c r="U30" s="23"/>
      <c r="V30" s="23"/>
    </row>
    <row r="31" spans="1:22" ht="12.75">
      <c r="A31" s="27">
        <v>3159</v>
      </c>
      <c r="B31" s="27" t="s">
        <v>64</v>
      </c>
      <c r="C31" s="27">
        <v>605</v>
      </c>
      <c r="D31" s="27">
        <v>703</v>
      </c>
      <c r="E31" s="27">
        <v>1185</v>
      </c>
      <c r="F31" s="27">
        <v>220</v>
      </c>
      <c r="G31" s="27">
        <v>44</v>
      </c>
      <c r="H31" s="27">
        <v>8487</v>
      </c>
      <c r="I31" s="27"/>
      <c r="J31" s="27">
        <f t="shared" si="6"/>
        <v>825</v>
      </c>
      <c r="K31" s="75">
        <f t="shared" si="7"/>
        <v>10419</v>
      </c>
      <c r="L31" s="23"/>
      <c r="M31" s="23"/>
      <c r="N31" s="23"/>
      <c r="O31" s="23"/>
      <c r="P31" s="23"/>
      <c r="Q31" s="23"/>
      <c r="R31" s="23"/>
      <c r="S31" s="23"/>
      <c r="T31" s="23"/>
      <c r="U31" s="23"/>
      <c r="V31" s="23"/>
    </row>
    <row r="32" spans="1:22" ht="12.75">
      <c r="A32" s="27">
        <v>3159</v>
      </c>
      <c r="B32" s="27" t="s">
        <v>65</v>
      </c>
      <c r="C32" s="27">
        <v>984</v>
      </c>
      <c r="D32" s="27">
        <v>866</v>
      </c>
      <c r="E32" s="27">
        <v>1662</v>
      </c>
      <c r="F32" s="27">
        <v>238</v>
      </c>
      <c r="G32" s="27">
        <v>44</v>
      </c>
      <c r="H32" s="27">
        <v>8487</v>
      </c>
      <c r="I32" s="27"/>
      <c r="J32" s="27">
        <f t="shared" si="6"/>
        <v>1222</v>
      </c>
      <c r="K32" s="75">
        <f t="shared" si="7"/>
        <v>11059</v>
      </c>
      <c r="L32" s="23"/>
      <c r="M32" s="23"/>
      <c r="N32" s="23"/>
      <c r="O32" s="23"/>
      <c r="P32" s="23"/>
      <c r="Q32" s="23"/>
      <c r="R32" s="23"/>
      <c r="S32" s="23"/>
      <c r="T32" s="23"/>
      <c r="U32" s="23"/>
      <c r="V32" s="23"/>
    </row>
    <row r="33" spans="1:22" ht="12.75">
      <c r="A33" s="27">
        <v>3159</v>
      </c>
      <c r="B33" s="27" t="s">
        <v>66</v>
      </c>
      <c r="C33" s="27">
        <v>819</v>
      </c>
      <c r="D33" s="27">
        <v>773</v>
      </c>
      <c r="E33" s="27">
        <v>1957</v>
      </c>
      <c r="F33" s="27">
        <v>231</v>
      </c>
      <c r="G33" s="27">
        <v>44</v>
      </c>
      <c r="H33" s="27">
        <v>8487</v>
      </c>
      <c r="I33" s="27"/>
      <c r="J33" s="27">
        <f t="shared" si="6"/>
        <v>1050</v>
      </c>
      <c r="K33" s="75">
        <f t="shared" si="7"/>
        <v>11261</v>
      </c>
      <c r="L33" s="23"/>
      <c r="M33" s="23"/>
      <c r="N33" s="23"/>
      <c r="O33" s="23"/>
      <c r="P33" s="23"/>
      <c r="Q33" s="23"/>
      <c r="R33" s="23"/>
      <c r="S33" s="23"/>
      <c r="T33" s="23"/>
      <c r="U33" s="23"/>
      <c r="V33" s="23"/>
    </row>
    <row r="34" spans="1:22" ht="12.75">
      <c r="A34" s="27">
        <v>3159</v>
      </c>
      <c r="B34" s="27" t="s">
        <v>67</v>
      </c>
      <c r="C34" s="27">
        <v>829</v>
      </c>
      <c r="D34" s="27">
        <v>713</v>
      </c>
      <c r="E34" s="27">
        <v>2413</v>
      </c>
      <c r="F34" s="27">
        <v>227</v>
      </c>
      <c r="G34" s="27">
        <v>44</v>
      </c>
      <c r="H34" s="27">
        <v>8421</v>
      </c>
      <c r="I34" s="27"/>
      <c r="J34" s="27">
        <f t="shared" si="6"/>
        <v>1056</v>
      </c>
      <c r="K34" s="75">
        <f t="shared" si="7"/>
        <v>11591</v>
      </c>
      <c r="L34" s="23"/>
      <c r="M34" s="23"/>
      <c r="N34" s="23"/>
      <c r="O34" s="23"/>
      <c r="P34" s="23"/>
      <c r="Q34" s="23"/>
      <c r="R34" s="23"/>
      <c r="S34" s="23"/>
      <c r="T34" s="23"/>
      <c r="U34" s="23"/>
      <c r="V34" s="23"/>
    </row>
    <row r="35" spans="1:22" ht="12.75">
      <c r="A35" s="27">
        <v>3159</v>
      </c>
      <c r="B35" s="27" t="s">
        <v>68</v>
      </c>
      <c r="C35" s="27">
        <v>1028</v>
      </c>
      <c r="D35" s="27">
        <v>845</v>
      </c>
      <c r="E35" s="27">
        <v>1749</v>
      </c>
      <c r="F35" s="27">
        <v>241</v>
      </c>
      <c r="G35" s="27">
        <v>44</v>
      </c>
      <c r="H35" s="27">
        <v>8421</v>
      </c>
      <c r="I35" s="27"/>
      <c r="J35" s="27">
        <f t="shared" si="6"/>
        <v>1269</v>
      </c>
      <c r="K35" s="75">
        <f t="shared" si="7"/>
        <v>11059</v>
      </c>
      <c r="L35" s="23"/>
      <c r="M35" s="23"/>
      <c r="N35" s="23"/>
      <c r="O35" s="23"/>
      <c r="P35" s="23"/>
      <c r="Q35" s="23"/>
      <c r="R35" s="23"/>
      <c r="S35" s="23"/>
      <c r="T35" s="23"/>
      <c r="U35" s="23"/>
      <c r="V35" s="23"/>
    </row>
    <row r="36" spans="1:22" ht="12.75">
      <c r="A36" s="27">
        <v>3159</v>
      </c>
      <c r="B36" s="27" t="s">
        <v>69</v>
      </c>
      <c r="C36" s="27">
        <v>1334</v>
      </c>
      <c r="D36" s="27">
        <v>1082</v>
      </c>
      <c r="E36" s="27">
        <v>1491</v>
      </c>
      <c r="F36" s="27">
        <v>249</v>
      </c>
      <c r="G36" s="27">
        <v>44</v>
      </c>
      <c r="H36" s="27">
        <v>11526</v>
      </c>
      <c r="I36" s="27"/>
      <c r="J36" s="27">
        <f t="shared" si="6"/>
        <v>1583</v>
      </c>
      <c r="K36" s="75">
        <f t="shared" si="7"/>
        <v>14143</v>
      </c>
      <c r="L36" s="23"/>
      <c r="M36" s="23"/>
      <c r="N36" s="23"/>
      <c r="O36" s="23"/>
      <c r="P36" s="23"/>
      <c r="Q36" s="23"/>
      <c r="R36" s="23"/>
      <c r="S36" s="23"/>
      <c r="T36" s="23"/>
      <c r="U36" s="23"/>
      <c r="V36" s="23"/>
    </row>
    <row r="37" spans="1:22" ht="12.75">
      <c r="A37" s="27">
        <v>3159</v>
      </c>
      <c r="B37" s="27" t="s">
        <v>70</v>
      </c>
      <c r="C37" s="27">
        <v>1306</v>
      </c>
      <c r="D37" s="27">
        <v>1054</v>
      </c>
      <c r="E37" s="27">
        <v>1257</v>
      </c>
      <c r="F37" s="27">
        <v>248</v>
      </c>
      <c r="G37" s="27">
        <v>44</v>
      </c>
      <c r="H37" s="27">
        <v>11526</v>
      </c>
      <c r="I37" s="27"/>
      <c r="J37" s="27">
        <f t="shared" si="6"/>
        <v>1554</v>
      </c>
      <c r="K37" s="75">
        <f t="shared" si="7"/>
        <v>13881</v>
      </c>
      <c r="L37" s="23"/>
      <c r="M37" s="23"/>
      <c r="N37" s="23"/>
      <c r="O37" s="23"/>
      <c r="P37" s="23"/>
      <c r="Q37" s="23"/>
      <c r="R37" s="23"/>
      <c r="S37" s="23"/>
      <c r="T37" s="23"/>
      <c r="U37" s="23"/>
      <c r="V37" s="23"/>
    </row>
    <row r="38" spans="1:22" ht="12.75">
      <c r="A38" s="27">
        <v>3159</v>
      </c>
      <c r="B38" s="27" t="s">
        <v>71</v>
      </c>
      <c r="C38" s="27">
        <v>1173</v>
      </c>
      <c r="D38" s="27">
        <v>974</v>
      </c>
      <c r="E38" s="27">
        <v>1915</v>
      </c>
      <c r="F38" s="27">
        <v>241</v>
      </c>
      <c r="G38" s="27">
        <v>44</v>
      </c>
      <c r="H38" s="27">
        <v>11526</v>
      </c>
      <c r="I38" s="27"/>
      <c r="J38" s="27">
        <f t="shared" si="6"/>
        <v>1414</v>
      </c>
      <c r="K38" s="75">
        <f t="shared" si="7"/>
        <v>14459</v>
      </c>
      <c r="L38" s="23"/>
      <c r="M38" s="23"/>
      <c r="N38" s="23"/>
      <c r="O38" s="23"/>
      <c r="P38" s="23"/>
      <c r="Q38" s="23"/>
      <c r="R38" s="23"/>
      <c r="S38" s="23"/>
      <c r="T38" s="23"/>
      <c r="U38" s="23"/>
      <c r="V38" s="23"/>
    </row>
    <row r="39" spans="1:22" ht="13.5" thickBot="1">
      <c r="A39" s="23"/>
      <c r="B39" s="23"/>
      <c r="C39" s="23"/>
      <c r="D39" s="23"/>
      <c r="E39" s="23"/>
      <c r="F39" s="23"/>
      <c r="G39" s="23"/>
      <c r="H39" s="23"/>
      <c r="I39" s="23"/>
      <c r="J39" s="23"/>
      <c r="K39" s="74"/>
      <c r="L39" s="23"/>
      <c r="M39" s="23"/>
      <c r="N39" s="23"/>
      <c r="O39" s="23"/>
      <c r="P39" s="23"/>
      <c r="Q39" s="23"/>
      <c r="R39" s="23"/>
      <c r="S39" s="23"/>
      <c r="T39" s="23"/>
      <c r="U39" s="23"/>
      <c r="V39" s="23"/>
    </row>
    <row r="40" spans="1:22" ht="39" thickBot="1">
      <c r="A40" s="69" t="s">
        <v>135</v>
      </c>
      <c r="B40" s="21"/>
      <c r="C40" s="21" t="s">
        <v>117</v>
      </c>
      <c r="D40" s="21" t="s">
        <v>118</v>
      </c>
      <c r="E40" s="21" t="s">
        <v>134</v>
      </c>
      <c r="F40" s="21" t="s">
        <v>121</v>
      </c>
      <c r="G40" s="21"/>
      <c r="H40" s="21" t="s">
        <v>136</v>
      </c>
      <c r="I40" s="21"/>
      <c r="J40" s="21"/>
      <c r="K40" s="73"/>
      <c r="L40" s="23"/>
      <c r="M40" s="23"/>
      <c r="N40" s="23"/>
      <c r="O40" s="23"/>
      <c r="P40" s="23"/>
      <c r="Q40" s="23"/>
      <c r="R40" s="23"/>
      <c r="S40" s="23"/>
      <c r="T40" s="23"/>
      <c r="U40" s="23"/>
      <c r="V40" s="23"/>
    </row>
    <row r="41" spans="1:22" ht="12.75">
      <c r="A41" s="27">
        <v>1219</v>
      </c>
      <c r="B41" s="27" t="s">
        <v>6</v>
      </c>
      <c r="C41" s="27">
        <v>2683</v>
      </c>
      <c r="D41" s="27">
        <v>765</v>
      </c>
      <c r="E41" s="27">
        <v>3603</v>
      </c>
      <c r="F41" s="27">
        <v>4895</v>
      </c>
      <c r="G41" s="27"/>
      <c r="H41" s="27">
        <f>'Code Home'!C41*0.081*-1</f>
        <v>-260.73900000000003</v>
      </c>
      <c r="I41" s="27"/>
      <c r="J41" s="27"/>
      <c r="K41" s="75">
        <f aca="true" t="shared" si="8" ref="K41:K51">SUM(C41:F41)+H41</f>
        <v>11685.261</v>
      </c>
      <c r="L41" s="23"/>
      <c r="M41" s="23"/>
      <c r="N41" s="23"/>
      <c r="O41" s="23"/>
      <c r="P41" s="23"/>
      <c r="Q41" s="23"/>
      <c r="R41" s="23"/>
      <c r="S41" s="23"/>
      <c r="T41" s="23"/>
      <c r="U41" s="23"/>
      <c r="V41" s="23"/>
    </row>
    <row r="42" spans="1:22" ht="12.75">
      <c r="A42" s="27">
        <v>1219</v>
      </c>
      <c r="B42" s="27" t="s">
        <v>62</v>
      </c>
      <c r="C42" s="27">
        <v>3130</v>
      </c>
      <c r="D42" s="27">
        <v>1037</v>
      </c>
      <c r="E42" s="27">
        <v>3602</v>
      </c>
      <c r="F42" s="27">
        <v>4895</v>
      </c>
      <c r="G42" s="27"/>
      <c r="H42" s="27">
        <f>'Code Home'!C42*0.081*-1</f>
        <v>-297.51300000000003</v>
      </c>
      <c r="I42" s="27"/>
      <c r="J42" s="27"/>
      <c r="K42" s="75">
        <f t="shared" si="8"/>
        <v>12366.487</v>
      </c>
      <c r="L42" s="23"/>
      <c r="M42" s="23"/>
      <c r="N42" s="23"/>
      <c r="O42" s="23"/>
      <c r="P42" s="23"/>
      <c r="Q42" s="23"/>
      <c r="R42" s="23"/>
      <c r="S42" s="23"/>
      <c r="T42" s="23"/>
      <c r="U42" s="23"/>
      <c r="V42" s="23"/>
    </row>
    <row r="43" spans="1:22" ht="12.75">
      <c r="A43" s="27">
        <v>1219</v>
      </c>
      <c r="B43" s="27" t="s">
        <v>63</v>
      </c>
      <c r="C43" s="27">
        <v>5012</v>
      </c>
      <c r="D43" s="27">
        <v>776</v>
      </c>
      <c r="E43" s="27">
        <v>3834</v>
      </c>
      <c r="F43" s="27">
        <v>4895</v>
      </c>
      <c r="G43" s="27"/>
      <c r="H43" s="27">
        <f>'Code Home'!C43*0.081*-1</f>
        <v>-467.37</v>
      </c>
      <c r="I43" s="27"/>
      <c r="J43" s="27"/>
      <c r="K43" s="75">
        <f t="shared" si="8"/>
        <v>14049.63</v>
      </c>
      <c r="L43" s="23"/>
      <c r="M43" s="23"/>
      <c r="N43" s="23"/>
      <c r="O43" s="23"/>
      <c r="P43" s="23"/>
      <c r="Q43" s="23"/>
      <c r="R43" s="23"/>
      <c r="S43" s="23"/>
      <c r="T43" s="23"/>
      <c r="U43" s="23"/>
      <c r="V43" s="23"/>
    </row>
    <row r="44" spans="1:22" ht="12.75">
      <c r="A44" s="27">
        <v>1219</v>
      </c>
      <c r="B44" s="27" t="s">
        <v>64</v>
      </c>
      <c r="C44" s="27">
        <v>2605</v>
      </c>
      <c r="D44" s="27">
        <v>580</v>
      </c>
      <c r="E44" s="27">
        <v>3606</v>
      </c>
      <c r="F44" s="27">
        <v>4895</v>
      </c>
      <c r="G44" s="27"/>
      <c r="H44" s="27">
        <f>'Code Home'!C44*0.081*-1</f>
        <v>-252.15300000000002</v>
      </c>
      <c r="I44" s="27"/>
      <c r="J44" s="27"/>
      <c r="K44" s="75">
        <f t="shared" si="8"/>
        <v>11433.847</v>
      </c>
      <c r="L44" s="23"/>
      <c r="M44" s="23"/>
      <c r="N44" s="23"/>
      <c r="O44" s="23"/>
      <c r="P44" s="23"/>
      <c r="Q44" s="23"/>
      <c r="R44" s="23"/>
      <c r="S44" s="23"/>
      <c r="T44" s="23"/>
      <c r="U44" s="23"/>
      <c r="V44" s="23"/>
    </row>
    <row r="45" spans="1:22" ht="12.75">
      <c r="A45" s="27">
        <v>1219</v>
      </c>
      <c r="B45" s="27" t="s">
        <v>65</v>
      </c>
      <c r="C45" s="27">
        <v>5837</v>
      </c>
      <c r="D45" s="27">
        <v>814</v>
      </c>
      <c r="E45" s="27">
        <v>3893</v>
      </c>
      <c r="F45" s="27">
        <v>4895</v>
      </c>
      <c r="G45" s="27"/>
      <c r="H45" s="27">
        <f>'Code Home'!C45*0.081*-1</f>
        <v>-539.379</v>
      </c>
      <c r="I45" s="27"/>
      <c r="J45" s="27"/>
      <c r="K45" s="75">
        <f t="shared" si="8"/>
        <v>14899.621</v>
      </c>
      <c r="L45" s="23"/>
      <c r="M45" s="23"/>
      <c r="N45" s="23"/>
      <c r="O45" s="23"/>
      <c r="P45" s="23"/>
      <c r="Q45" s="23"/>
      <c r="R45" s="23"/>
      <c r="S45" s="23"/>
      <c r="T45" s="23"/>
      <c r="U45" s="23"/>
      <c r="V45" s="23"/>
    </row>
    <row r="46" spans="1:22" ht="12.75">
      <c r="A46" s="27">
        <v>1219</v>
      </c>
      <c r="B46" s="27" t="s">
        <v>66</v>
      </c>
      <c r="C46" s="27">
        <v>4667</v>
      </c>
      <c r="D46" s="27">
        <v>962</v>
      </c>
      <c r="E46" s="27">
        <v>3777</v>
      </c>
      <c r="F46" s="27">
        <v>4895</v>
      </c>
      <c r="G46" s="27"/>
      <c r="H46" s="27">
        <f>'Code Home'!C46*0.081*-1</f>
        <v>-451.98</v>
      </c>
      <c r="I46" s="27"/>
      <c r="J46" s="27"/>
      <c r="K46" s="75">
        <f t="shared" si="8"/>
        <v>13849.02</v>
      </c>
      <c r="L46" s="23"/>
      <c r="M46" s="23"/>
      <c r="N46" s="23"/>
      <c r="O46" s="23"/>
      <c r="P46" s="23"/>
      <c r="Q46" s="23"/>
      <c r="R46" s="23"/>
      <c r="S46" s="23"/>
      <c r="T46" s="23"/>
      <c r="U46" s="23"/>
      <c r="V46" s="23"/>
    </row>
    <row r="47" spans="1:22" ht="12.75">
      <c r="A47" s="27">
        <v>1219</v>
      </c>
      <c r="B47" s="27" t="s">
        <v>67</v>
      </c>
      <c r="C47" s="27">
        <v>4565</v>
      </c>
      <c r="D47" s="27">
        <v>1215</v>
      </c>
      <c r="E47" s="27">
        <v>3720</v>
      </c>
      <c r="F47" s="27">
        <v>4885</v>
      </c>
      <c r="G47" s="27"/>
      <c r="H47" s="27">
        <f>'Code Home'!C47*0.081*-1</f>
        <v>-472.959</v>
      </c>
      <c r="I47" s="27"/>
      <c r="J47" s="27"/>
      <c r="K47" s="75">
        <f t="shared" si="8"/>
        <v>13912.041</v>
      </c>
      <c r="L47" s="23"/>
      <c r="M47" s="23"/>
      <c r="N47" s="23"/>
      <c r="O47" s="23"/>
      <c r="P47" s="23"/>
      <c r="Q47" s="23"/>
      <c r="R47" s="23"/>
      <c r="S47" s="23"/>
      <c r="T47" s="23"/>
      <c r="U47" s="23"/>
      <c r="V47" s="23"/>
    </row>
    <row r="48" spans="1:22" ht="12.75">
      <c r="A48" s="27">
        <v>1219</v>
      </c>
      <c r="B48" s="27" t="s">
        <v>68</v>
      </c>
      <c r="C48" s="27">
        <v>6449</v>
      </c>
      <c r="D48" s="27">
        <v>871</v>
      </c>
      <c r="E48" s="27">
        <v>3950</v>
      </c>
      <c r="F48" s="27">
        <v>4885</v>
      </c>
      <c r="G48" s="27"/>
      <c r="H48" s="27">
        <f>'Code Home'!C48*0.081*-1</f>
        <v>-636.984</v>
      </c>
      <c r="I48" s="27"/>
      <c r="J48" s="27"/>
      <c r="K48" s="75">
        <f t="shared" si="8"/>
        <v>15518.016</v>
      </c>
      <c r="L48" s="23"/>
      <c r="M48" s="23"/>
      <c r="N48" s="23"/>
      <c r="O48" s="23"/>
      <c r="P48" s="23"/>
      <c r="Q48" s="23"/>
      <c r="R48" s="23"/>
      <c r="S48" s="23"/>
      <c r="T48" s="23"/>
      <c r="U48" s="23"/>
      <c r="V48" s="23"/>
    </row>
    <row r="49" spans="1:22" ht="12.75">
      <c r="A49" s="27">
        <v>1219</v>
      </c>
      <c r="B49" s="27" t="s">
        <v>69</v>
      </c>
      <c r="C49" s="27">
        <v>8384</v>
      </c>
      <c r="D49" s="27">
        <v>725</v>
      </c>
      <c r="E49" s="27">
        <v>4065</v>
      </c>
      <c r="F49" s="27">
        <v>4885</v>
      </c>
      <c r="G49" s="27"/>
      <c r="H49" s="27">
        <f>'Code Home'!C49*0.081*-1</f>
        <v>-798.741</v>
      </c>
      <c r="I49" s="27"/>
      <c r="J49" s="27"/>
      <c r="K49" s="75">
        <f t="shared" si="8"/>
        <v>17260.259</v>
      </c>
      <c r="L49" s="23"/>
      <c r="M49" s="23"/>
      <c r="N49" s="23"/>
      <c r="O49" s="23"/>
      <c r="P49" s="23"/>
      <c r="Q49" s="23"/>
      <c r="R49" s="23"/>
      <c r="S49" s="23"/>
      <c r="T49" s="23"/>
      <c r="U49" s="23"/>
      <c r="V49" s="23"/>
    </row>
    <row r="50" spans="1:22" ht="12.75">
      <c r="A50" s="27">
        <v>1219</v>
      </c>
      <c r="B50" s="27" t="s">
        <v>70</v>
      </c>
      <c r="C50" s="27">
        <v>7227</v>
      </c>
      <c r="D50" s="27">
        <v>627</v>
      </c>
      <c r="E50" s="27">
        <v>4064</v>
      </c>
      <c r="F50" s="27">
        <v>4885</v>
      </c>
      <c r="G50" s="27"/>
      <c r="H50" s="27">
        <f>'Code Home'!C50*0.081*-1</f>
        <v>-708.183</v>
      </c>
      <c r="I50" s="27"/>
      <c r="J50" s="27"/>
      <c r="K50" s="75">
        <f t="shared" si="8"/>
        <v>16094.817</v>
      </c>
      <c r="L50" s="23"/>
      <c r="M50" s="23"/>
      <c r="N50" s="23"/>
      <c r="O50" s="23"/>
      <c r="P50" s="23"/>
      <c r="Q50" s="23"/>
      <c r="R50" s="23"/>
      <c r="S50" s="23"/>
      <c r="T50" s="23"/>
      <c r="U50" s="23"/>
      <c r="V50" s="23"/>
    </row>
    <row r="51" spans="1:22" ht="12.75">
      <c r="A51" s="27">
        <v>1219</v>
      </c>
      <c r="B51" s="27" t="s">
        <v>71</v>
      </c>
      <c r="C51" s="27">
        <v>7101</v>
      </c>
      <c r="D51" s="27">
        <v>918</v>
      </c>
      <c r="E51" s="27">
        <v>3948</v>
      </c>
      <c r="F51" s="27">
        <v>4885</v>
      </c>
      <c r="G51" s="27"/>
      <c r="H51" s="27">
        <f>'Code Home'!C51*0.081*-1</f>
        <v>-678.618</v>
      </c>
      <c r="I51" s="27"/>
      <c r="J51" s="27"/>
      <c r="K51" s="75">
        <f t="shared" si="8"/>
        <v>16173.382</v>
      </c>
      <c r="L51" s="23"/>
      <c r="M51" s="23"/>
      <c r="N51" s="23"/>
      <c r="O51" s="23"/>
      <c r="P51" s="23"/>
      <c r="Q51" s="23"/>
      <c r="R51" s="23"/>
      <c r="S51" s="23"/>
      <c r="T51" s="23"/>
      <c r="U51" s="23"/>
      <c r="V51" s="23"/>
    </row>
    <row r="52" spans="1:22" ht="12.75">
      <c r="A52" s="27"/>
      <c r="B52" s="27"/>
      <c r="C52" s="27"/>
      <c r="D52" s="27"/>
      <c r="E52" s="27"/>
      <c r="F52" s="27"/>
      <c r="G52" s="27"/>
      <c r="H52" s="27"/>
      <c r="I52" s="27"/>
      <c r="J52" s="27"/>
      <c r="K52" s="75"/>
      <c r="L52" s="23"/>
      <c r="M52" s="23"/>
      <c r="N52" s="23"/>
      <c r="O52" s="23"/>
      <c r="P52" s="23"/>
      <c r="Q52" s="23"/>
      <c r="R52" s="23"/>
      <c r="S52" s="23"/>
      <c r="T52" s="23"/>
      <c r="U52" s="23"/>
      <c r="V52" s="23"/>
    </row>
    <row r="53" spans="1:22" ht="12.75">
      <c r="A53" s="27">
        <v>2719</v>
      </c>
      <c r="B53" s="27" t="s">
        <v>6</v>
      </c>
      <c r="C53" s="27">
        <v>5155</v>
      </c>
      <c r="D53" s="27">
        <v>1313</v>
      </c>
      <c r="E53" s="27">
        <v>4163</v>
      </c>
      <c r="F53" s="27">
        <v>8680</v>
      </c>
      <c r="G53" s="27"/>
      <c r="H53" s="27">
        <f>'Code Home'!C53*0.081*-1</f>
        <v>-566.028</v>
      </c>
      <c r="I53" s="27"/>
      <c r="J53" s="27"/>
      <c r="K53" s="75">
        <f aca="true" t="shared" si="9" ref="K53:K63">SUM(C53:F53)+H53</f>
        <v>18744.972</v>
      </c>
      <c r="L53" s="23"/>
      <c r="M53" s="23"/>
      <c r="N53" s="23"/>
      <c r="O53" s="23"/>
      <c r="P53" s="23"/>
      <c r="Q53" s="23"/>
      <c r="R53" s="23"/>
      <c r="S53" s="23"/>
      <c r="T53" s="23"/>
      <c r="U53" s="23"/>
      <c r="V53" s="23"/>
    </row>
    <row r="54" spans="1:22" ht="12.75">
      <c r="A54" s="27">
        <v>2719</v>
      </c>
      <c r="B54" s="27" t="s">
        <v>62</v>
      </c>
      <c r="C54" s="27">
        <v>5780</v>
      </c>
      <c r="D54" s="27">
        <v>1699</v>
      </c>
      <c r="E54" s="27">
        <v>4163</v>
      </c>
      <c r="F54" s="27">
        <v>8680</v>
      </c>
      <c r="G54" s="27"/>
      <c r="H54" s="27">
        <f>'Code Home'!C54*0.081*-1</f>
        <v>-617.22</v>
      </c>
      <c r="I54" s="27"/>
      <c r="J54" s="27"/>
      <c r="K54" s="75">
        <f t="shared" si="9"/>
        <v>19704.78</v>
      </c>
      <c r="L54" s="23"/>
      <c r="M54" s="23"/>
      <c r="N54" s="23"/>
      <c r="O54" s="23"/>
      <c r="P54" s="23"/>
      <c r="Q54" s="23"/>
      <c r="R54" s="23"/>
      <c r="S54" s="23"/>
      <c r="T54" s="23"/>
      <c r="U54" s="23"/>
      <c r="V54" s="23"/>
    </row>
    <row r="55" spans="1:22" ht="12.75">
      <c r="A55" s="27">
        <v>2719</v>
      </c>
      <c r="B55" s="27" t="s">
        <v>63</v>
      </c>
      <c r="C55" s="27">
        <v>9307</v>
      </c>
      <c r="D55" s="27">
        <v>1300</v>
      </c>
      <c r="E55" s="27">
        <v>4430</v>
      </c>
      <c r="F55" s="27">
        <v>8680</v>
      </c>
      <c r="G55" s="27"/>
      <c r="H55" s="27">
        <f>'Code Home'!C55*0.081*-1</f>
        <v>-989.01</v>
      </c>
      <c r="I55" s="27"/>
      <c r="J55" s="27"/>
      <c r="K55" s="75">
        <f t="shared" si="9"/>
        <v>22727.99</v>
      </c>
      <c r="L55" s="23"/>
      <c r="M55" s="23"/>
      <c r="N55" s="23"/>
      <c r="O55" s="23"/>
      <c r="P55" s="23"/>
      <c r="Q55" s="23"/>
      <c r="R55" s="23"/>
      <c r="S55" s="23"/>
      <c r="T55" s="23"/>
      <c r="U55" s="23"/>
      <c r="V55" s="23"/>
    </row>
    <row r="56" spans="1:22" ht="12.75">
      <c r="A56" s="27">
        <v>2719</v>
      </c>
      <c r="B56" s="27" t="s">
        <v>64</v>
      </c>
      <c r="C56" s="27">
        <v>5399</v>
      </c>
      <c r="D56" s="27">
        <v>970</v>
      </c>
      <c r="E56" s="27">
        <v>4166</v>
      </c>
      <c r="F56" s="27">
        <v>8614</v>
      </c>
      <c r="G56" s="27"/>
      <c r="H56" s="27">
        <f>'Code Home'!C56*0.081*-1</f>
        <v>-542.943</v>
      </c>
      <c r="I56" s="27"/>
      <c r="J56" s="27"/>
      <c r="K56" s="75">
        <f t="shared" si="9"/>
        <v>18606.057</v>
      </c>
      <c r="L56" s="23"/>
      <c r="M56" s="23"/>
      <c r="N56" s="23"/>
      <c r="O56" s="23"/>
      <c r="P56" s="23"/>
      <c r="Q56" s="23"/>
      <c r="R56" s="23"/>
      <c r="S56" s="23"/>
      <c r="T56" s="23"/>
      <c r="U56" s="23"/>
      <c r="V56" s="23"/>
    </row>
    <row r="57" spans="1:22" ht="12.75">
      <c r="A57" s="27">
        <v>2719</v>
      </c>
      <c r="B57" s="27" t="s">
        <v>65</v>
      </c>
      <c r="C57" s="27">
        <v>11961</v>
      </c>
      <c r="D57" s="27">
        <v>1359</v>
      </c>
      <c r="E57" s="27">
        <v>4498</v>
      </c>
      <c r="F57" s="27">
        <v>8614</v>
      </c>
      <c r="G57" s="27"/>
      <c r="H57" s="27">
        <f>'Code Home'!C57*0.081*-1</f>
        <v>-1134.81</v>
      </c>
      <c r="I57" s="27"/>
      <c r="J57" s="27"/>
      <c r="K57" s="75">
        <f t="shared" si="9"/>
        <v>25297.19</v>
      </c>
      <c r="L57" s="23"/>
      <c r="M57" s="23"/>
      <c r="N57" s="23"/>
      <c r="O57" s="23"/>
      <c r="P57" s="23"/>
      <c r="Q57" s="23"/>
      <c r="R57" s="23"/>
      <c r="S57" s="23"/>
      <c r="T57" s="23"/>
      <c r="U57" s="23"/>
      <c r="V57" s="23"/>
    </row>
    <row r="58" spans="1:22" ht="12.75">
      <c r="A58" s="27">
        <v>2719</v>
      </c>
      <c r="B58" s="27" t="s">
        <v>66</v>
      </c>
      <c r="C58" s="27">
        <v>9514</v>
      </c>
      <c r="D58" s="27">
        <v>1611</v>
      </c>
      <c r="E58" s="27">
        <v>4364</v>
      </c>
      <c r="F58" s="27">
        <v>8614</v>
      </c>
      <c r="G58" s="27"/>
      <c r="H58" s="27">
        <f>'Code Home'!C58*0.081*-1</f>
        <v>-951.831</v>
      </c>
      <c r="I58" s="27"/>
      <c r="J58" s="27"/>
      <c r="K58" s="75">
        <f t="shared" si="9"/>
        <v>23151.169</v>
      </c>
      <c r="L58" s="23"/>
      <c r="M58" s="23"/>
      <c r="N58" s="23"/>
      <c r="O58" s="23"/>
      <c r="P58" s="23"/>
      <c r="Q58" s="23"/>
      <c r="R58" s="23"/>
      <c r="S58" s="23"/>
      <c r="T58" s="23"/>
      <c r="U58" s="23"/>
      <c r="V58" s="23"/>
    </row>
    <row r="59" spans="1:22" ht="12.75">
      <c r="A59" s="27">
        <v>2719</v>
      </c>
      <c r="B59" s="27" t="s">
        <v>67</v>
      </c>
      <c r="C59" s="27">
        <v>9313</v>
      </c>
      <c r="D59" s="27">
        <v>2020</v>
      </c>
      <c r="E59" s="27">
        <v>4298</v>
      </c>
      <c r="F59" s="27">
        <v>8614</v>
      </c>
      <c r="G59" s="27"/>
      <c r="H59" s="27">
        <f>'Code Home'!C59*0.081*-1</f>
        <v>-970.623</v>
      </c>
      <c r="I59" s="27"/>
      <c r="J59" s="27"/>
      <c r="K59" s="75">
        <f t="shared" si="9"/>
        <v>23274.377</v>
      </c>
      <c r="L59" s="23"/>
      <c r="M59" s="23"/>
      <c r="N59" s="23"/>
      <c r="O59" s="23"/>
      <c r="P59" s="23"/>
      <c r="Q59" s="23"/>
      <c r="R59" s="23"/>
      <c r="S59" s="23"/>
      <c r="T59" s="23"/>
      <c r="U59" s="23"/>
      <c r="V59" s="23"/>
    </row>
    <row r="60" spans="1:22" ht="12.75">
      <c r="A60" s="27">
        <v>2719</v>
      </c>
      <c r="B60" s="27" t="s">
        <v>68</v>
      </c>
      <c r="C60" s="27">
        <v>13141</v>
      </c>
      <c r="D60" s="27">
        <v>1498</v>
      </c>
      <c r="E60" s="27">
        <v>4564</v>
      </c>
      <c r="F60" s="27">
        <v>8614</v>
      </c>
      <c r="G60" s="27"/>
      <c r="H60" s="27">
        <f>'Code Home'!C60*0.081*-1</f>
        <v>-1322.163</v>
      </c>
      <c r="I60" s="27"/>
      <c r="J60" s="27"/>
      <c r="K60" s="75">
        <f t="shared" si="9"/>
        <v>26494.837</v>
      </c>
      <c r="L60" s="23"/>
      <c r="M60" s="23"/>
      <c r="N60" s="23"/>
      <c r="O60" s="23"/>
      <c r="P60" s="23"/>
      <c r="Q60" s="23"/>
      <c r="R60" s="23"/>
      <c r="S60" s="23"/>
      <c r="T60" s="23"/>
      <c r="U60" s="23"/>
      <c r="V60" s="23"/>
    </row>
    <row r="61" spans="1:22" ht="12.75">
      <c r="A61" s="27">
        <v>2719</v>
      </c>
      <c r="B61" s="27" t="s">
        <v>69</v>
      </c>
      <c r="C61" s="27">
        <v>20754</v>
      </c>
      <c r="D61" s="27">
        <v>1225</v>
      </c>
      <c r="E61" s="27">
        <v>4696</v>
      </c>
      <c r="F61" s="27">
        <v>11967</v>
      </c>
      <c r="G61" s="27"/>
      <c r="H61" s="27">
        <f>'Code Home'!C61*0.081*-1</f>
        <v>-1901.4750000000001</v>
      </c>
      <c r="I61" s="27"/>
      <c r="J61" s="27"/>
      <c r="K61" s="75">
        <f t="shared" si="9"/>
        <v>36740.525</v>
      </c>
      <c r="L61" s="23"/>
      <c r="M61" s="23"/>
      <c r="N61" s="23"/>
      <c r="O61" s="23"/>
      <c r="P61" s="23"/>
      <c r="Q61" s="23"/>
      <c r="R61" s="23"/>
      <c r="S61" s="23"/>
      <c r="T61" s="23"/>
      <c r="U61" s="23"/>
      <c r="V61" s="23"/>
    </row>
    <row r="62" spans="1:22" ht="12.75">
      <c r="A62" s="27">
        <v>2719</v>
      </c>
      <c r="B62" s="27" t="s">
        <v>70</v>
      </c>
      <c r="C62" s="27">
        <v>18060</v>
      </c>
      <c r="D62" s="27">
        <v>1021</v>
      </c>
      <c r="E62" s="27">
        <v>4712</v>
      </c>
      <c r="F62" s="27">
        <v>11967</v>
      </c>
      <c r="G62" s="27"/>
      <c r="H62" s="27">
        <f>'Code Home'!C62*0.081*-1</f>
        <v>-1680.345</v>
      </c>
      <c r="I62" s="27"/>
      <c r="J62" s="27"/>
      <c r="K62" s="75">
        <f t="shared" si="9"/>
        <v>34079.655</v>
      </c>
      <c r="L62" s="23"/>
      <c r="M62" s="23"/>
      <c r="N62" s="23"/>
      <c r="O62" s="23"/>
      <c r="P62" s="23"/>
      <c r="Q62" s="23"/>
      <c r="R62" s="23"/>
      <c r="S62" s="23"/>
      <c r="T62" s="23"/>
      <c r="U62" s="23"/>
      <c r="V62" s="23"/>
    </row>
    <row r="63" spans="1:22" ht="12.75">
      <c r="A63" s="27">
        <v>2719</v>
      </c>
      <c r="B63" s="27" t="s">
        <v>71</v>
      </c>
      <c r="C63" s="27">
        <v>17550</v>
      </c>
      <c r="D63" s="27">
        <v>1588</v>
      </c>
      <c r="E63" s="27">
        <v>4578</v>
      </c>
      <c r="F63" s="27">
        <v>11967</v>
      </c>
      <c r="G63" s="27"/>
      <c r="H63" s="27">
        <f>'Code Home'!C63*0.081*-1</f>
        <v>-1614.7350000000001</v>
      </c>
      <c r="I63" s="27"/>
      <c r="J63" s="27"/>
      <c r="K63" s="75">
        <f t="shared" si="9"/>
        <v>34068.265</v>
      </c>
      <c r="L63" s="23"/>
      <c r="M63" s="23"/>
      <c r="N63" s="23"/>
      <c r="O63" s="23"/>
      <c r="P63" s="23"/>
      <c r="Q63" s="23"/>
      <c r="R63" s="23"/>
      <c r="S63" s="23"/>
      <c r="T63" s="23"/>
      <c r="U63" s="23"/>
      <c r="V63" s="23"/>
    </row>
    <row r="64" spans="1:22" ht="12.75">
      <c r="A64" s="27"/>
      <c r="B64" s="27"/>
      <c r="C64" s="27"/>
      <c r="D64" s="27"/>
      <c r="E64" s="27"/>
      <c r="F64" s="27"/>
      <c r="G64" s="27"/>
      <c r="H64" s="27"/>
      <c r="I64" s="27"/>
      <c r="J64" s="27"/>
      <c r="K64" s="75"/>
      <c r="L64" s="23"/>
      <c r="M64" s="23"/>
      <c r="N64" s="23"/>
      <c r="O64" s="23"/>
      <c r="P64" s="23"/>
      <c r="Q64" s="23"/>
      <c r="R64" s="23"/>
      <c r="S64" s="23"/>
      <c r="T64" s="23"/>
      <c r="U64" s="23"/>
      <c r="V64" s="23"/>
    </row>
    <row r="65" spans="1:22" ht="12.75">
      <c r="A65" s="27">
        <v>3159</v>
      </c>
      <c r="B65" s="27" t="s">
        <v>6</v>
      </c>
      <c r="C65" s="27">
        <v>7037</v>
      </c>
      <c r="D65" s="27">
        <v>1533</v>
      </c>
      <c r="E65" s="27">
        <v>4163</v>
      </c>
      <c r="F65" s="27">
        <v>9704</v>
      </c>
      <c r="G65" s="27"/>
      <c r="H65" s="27">
        <f>'Code Home'!C65*0.081*-1</f>
        <v>-720.414</v>
      </c>
      <c r="I65" s="27"/>
      <c r="J65" s="27"/>
      <c r="K65" s="75">
        <f aca="true" t="shared" si="10" ref="K65:K75">SUM(C65:F65)+H65</f>
        <v>21716.586</v>
      </c>
      <c r="L65" s="23"/>
      <c r="M65" s="23"/>
      <c r="N65" s="23"/>
      <c r="O65" s="23"/>
      <c r="P65" s="23"/>
      <c r="Q65" s="23"/>
      <c r="R65" s="23"/>
      <c r="S65" s="23"/>
      <c r="T65" s="23"/>
      <c r="U65" s="23"/>
      <c r="V65" s="23"/>
    </row>
    <row r="66" spans="1:22" ht="12.75">
      <c r="A66" s="27">
        <v>3159</v>
      </c>
      <c r="B66" s="27" t="s">
        <v>62</v>
      </c>
      <c r="C66" s="27">
        <v>7967</v>
      </c>
      <c r="D66" s="27">
        <v>2041</v>
      </c>
      <c r="E66" s="27">
        <v>4163</v>
      </c>
      <c r="F66" s="27">
        <v>9704</v>
      </c>
      <c r="G66" s="27"/>
      <c r="H66" s="27">
        <f>'Code Home'!C66*0.081*-1</f>
        <v>-789.5070000000001</v>
      </c>
      <c r="I66" s="27"/>
      <c r="J66" s="27"/>
      <c r="K66" s="75">
        <f t="shared" si="10"/>
        <v>23085.493</v>
      </c>
      <c r="L66" s="23"/>
      <c r="M66" s="23"/>
      <c r="N66" s="23"/>
      <c r="O66" s="23"/>
      <c r="P66" s="23"/>
      <c r="Q66" s="23"/>
      <c r="R66" s="23"/>
      <c r="S66" s="23"/>
      <c r="T66" s="23"/>
      <c r="U66" s="23"/>
      <c r="V66" s="23"/>
    </row>
    <row r="67" spans="1:22" ht="12.75">
      <c r="A67" s="27">
        <v>3159</v>
      </c>
      <c r="B67" s="27" t="s">
        <v>63</v>
      </c>
      <c r="C67" s="27">
        <v>12497</v>
      </c>
      <c r="D67" s="27">
        <v>1519</v>
      </c>
      <c r="E67" s="27">
        <v>4430</v>
      </c>
      <c r="F67" s="27">
        <v>9704</v>
      </c>
      <c r="G67" s="27"/>
      <c r="H67" s="27">
        <f>'Code Home'!C67*0.081*-1</f>
        <v>-1255.905</v>
      </c>
      <c r="I67" s="27"/>
      <c r="J67" s="27"/>
      <c r="K67" s="75">
        <f t="shared" si="10"/>
        <v>26894.095</v>
      </c>
      <c r="L67" s="23"/>
      <c r="M67" s="23"/>
      <c r="N67" s="23"/>
      <c r="O67" s="23"/>
      <c r="P67" s="23"/>
      <c r="Q67" s="23"/>
      <c r="R67" s="23"/>
      <c r="S67" s="23"/>
      <c r="T67" s="23"/>
      <c r="U67" s="23"/>
      <c r="V67" s="23"/>
    </row>
    <row r="68" spans="1:22" ht="12.75">
      <c r="A68" s="27">
        <v>3159</v>
      </c>
      <c r="B68" s="27" t="s">
        <v>64</v>
      </c>
      <c r="C68" s="27">
        <v>6835</v>
      </c>
      <c r="D68" s="27">
        <v>1124</v>
      </c>
      <c r="E68" s="27">
        <v>4166</v>
      </c>
      <c r="F68" s="27">
        <v>9704</v>
      </c>
      <c r="G68" s="27"/>
      <c r="H68" s="27">
        <f>'Code Home'!C68*0.081*-1</f>
        <v>-698.787</v>
      </c>
      <c r="I68" s="27"/>
      <c r="J68" s="27"/>
      <c r="K68" s="75">
        <f t="shared" si="10"/>
        <v>21130.213</v>
      </c>
      <c r="L68" s="23"/>
      <c r="M68" s="23"/>
      <c r="N68" s="23"/>
      <c r="O68" s="23"/>
      <c r="P68" s="23"/>
      <c r="Q68" s="23"/>
      <c r="R68" s="23"/>
      <c r="S68" s="23"/>
      <c r="T68" s="23"/>
      <c r="U68" s="23"/>
      <c r="V68" s="23"/>
    </row>
    <row r="69" spans="1:22" ht="12.75">
      <c r="A69" s="27">
        <v>3159</v>
      </c>
      <c r="B69" s="27" t="s">
        <v>65</v>
      </c>
      <c r="C69" s="27">
        <v>15104</v>
      </c>
      <c r="D69" s="27">
        <v>1635</v>
      </c>
      <c r="E69" s="27">
        <v>4498</v>
      </c>
      <c r="F69" s="27">
        <v>9704</v>
      </c>
      <c r="G69" s="27"/>
      <c r="H69" s="27">
        <f>'Code Home'!C69*0.081*-1</f>
        <v>-1439.775</v>
      </c>
      <c r="I69" s="27"/>
      <c r="J69" s="27"/>
      <c r="K69" s="75">
        <f t="shared" si="10"/>
        <v>29501.225</v>
      </c>
      <c r="L69" s="23"/>
      <c r="M69" s="23"/>
      <c r="N69" s="23"/>
      <c r="O69" s="23"/>
      <c r="P69" s="23"/>
      <c r="Q69" s="23"/>
      <c r="R69" s="23"/>
      <c r="S69" s="23"/>
      <c r="T69" s="23"/>
      <c r="U69" s="23"/>
      <c r="V69" s="23"/>
    </row>
    <row r="70" spans="1:22" ht="12.75">
      <c r="A70" s="27">
        <v>3159</v>
      </c>
      <c r="B70" s="27" t="s">
        <v>66</v>
      </c>
      <c r="C70" s="27">
        <v>12003</v>
      </c>
      <c r="D70" s="27">
        <v>1928</v>
      </c>
      <c r="E70" s="27">
        <v>4364</v>
      </c>
      <c r="F70" s="27">
        <v>9704</v>
      </c>
      <c r="G70" s="27"/>
      <c r="H70" s="27">
        <f>'Code Home'!C70*0.081*-1</f>
        <v>-1205.685</v>
      </c>
      <c r="I70" s="27"/>
      <c r="J70" s="27"/>
      <c r="K70" s="75">
        <f t="shared" si="10"/>
        <v>26793.315</v>
      </c>
      <c r="L70" s="23"/>
      <c r="M70" s="23"/>
      <c r="N70" s="23"/>
      <c r="O70" s="23"/>
      <c r="P70" s="23"/>
      <c r="Q70" s="23"/>
      <c r="R70" s="23"/>
      <c r="S70" s="23"/>
      <c r="T70" s="23"/>
      <c r="U70" s="23"/>
      <c r="V70" s="23"/>
    </row>
    <row r="71" spans="1:22" ht="12.75">
      <c r="A71" s="27">
        <v>3159</v>
      </c>
      <c r="B71" s="27" t="s">
        <v>67</v>
      </c>
      <c r="C71" s="27">
        <v>11776</v>
      </c>
      <c r="D71" s="27">
        <v>2449</v>
      </c>
      <c r="E71" s="27">
        <v>4298</v>
      </c>
      <c r="F71" s="27">
        <v>9682</v>
      </c>
      <c r="G71" s="27"/>
      <c r="H71" s="27">
        <f>'Code Home'!C71*0.081*-1</f>
        <v>-1228.365</v>
      </c>
      <c r="I71" s="27"/>
      <c r="J71" s="27"/>
      <c r="K71" s="75">
        <f t="shared" si="10"/>
        <v>26976.635</v>
      </c>
      <c r="L71" s="23"/>
      <c r="M71" s="23"/>
      <c r="N71" s="23"/>
      <c r="O71" s="23"/>
      <c r="P71" s="23"/>
      <c r="Q71" s="23"/>
      <c r="R71" s="23"/>
      <c r="S71" s="23"/>
      <c r="T71" s="23"/>
      <c r="U71" s="23"/>
      <c r="V71" s="23"/>
    </row>
    <row r="72" spans="1:22" ht="12.75">
      <c r="A72" s="27">
        <v>3159</v>
      </c>
      <c r="B72" s="27" t="s">
        <v>68</v>
      </c>
      <c r="C72" s="27">
        <v>16595</v>
      </c>
      <c r="D72" s="27">
        <v>1786</v>
      </c>
      <c r="E72" s="27">
        <v>4564</v>
      </c>
      <c r="F72" s="27">
        <v>9682</v>
      </c>
      <c r="G72" s="27"/>
      <c r="H72" s="27">
        <f>'Code Home'!C72*0.081*-1</f>
        <v>-1669.248</v>
      </c>
      <c r="I72" s="27"/>
      <c r="J72" s="27"/>
      <c r="K72" s="75">
        <f t="shared" si="10"/>
        <v>30957.752</v>
      </c>
      <c r="L72" s="23"/>
      <c r="M72" s="23"/>
      <c r="N72" s="23"/>
      <c r="O72" s="23"/>
      <c r="P72" s="23"/>
      <c r="Q72" s="23"/>
      <c r="R72" s="23"/>
      <c r="S72" s="23"/>
      <c r="T72" s="23"/>
      <c r="U72" s="23"/>
      <c r="V72" s="23"/>
    </row>
    <row r="73" spans="1:22" ht="12.75">
      <c r="A73" s="27">
        <v>3159</v>
      </c>
      <c r="B73" s="27" t="s">
        <v>69</v>
      </c>
      <c r="C73" s="27">
        <v>24328</v>
      </c>
      <c r="D73" s="27">
        <v>1533</v>
      </c>
      <c r="E73" s="27">
        <v>4696</v>
      </c>
      <c r="F73" s="27">
        <v>12809</v>
      </c>
      <c r="G73" s="27"/>
      <c r="H73" s="27">
        <f>'Code Home'!C73*0.081*-1</f>
        <v>-2245.563</v>
      </c>
      <c r="I73" s="27"/>
      <c r="J73" s="27"/>
      <c r="K73" s="75">
        <f t="shared" si="10"/>
        <v>41120.437</v>
      </c>
      <c r="L73" s="23"/>
      <c r="M73" s="23"/>
      <c r="N73" s="23"/>
      <c r="O73" s="23"/>
      <c r="P73" s="23"/>
      <c r="Q73" s="23"/>
      <c r="R73" s="23"/>
      <c r="S73" s="23"/>
      <c r="T73" s="23"/>
      <c r="U73" s="23"/>
      <c r="V73" s="23"/>
    </row>
    <row r="74" spans="1:22" ht="12.75">
      <c r="A74" s="27">
        <v>3159</v>
      </c>
      <c r="B74" s="27" t="s">
        <v>70</v>
      </c>
      <c r="C74" s="27">
        <v>21109</v>
      </c>
      <c r="D74" s="27">
        <v>1293</v>
      </c>
      <c r="E74" s="27">
        <v>4695</v>
      </c>
      <c r="F74" s="27">
        <v>12809</v>
      </c>
      <c r="G74" s="27"/>
      <c r="H74" s="27">
        <f>'Code Home'!C74*0.081*-1</f>
        <v>-1985.472</v>
      </c>
      <c r="I74" s="27"/>
      <c r="J74" s="27"/>
      <c r="K74" s="75">
        <f t="shared" si="10"/>
        <v>37920.528</v>
      </c>
      <c r="L74" s="23"/>
      <c r="M74" s="23"/>
      <c r="N74" s="23"/>
      <c r="O74" s="23"/>
      <c r="P74" s="23"/>
      <c r="Q74" s="23"/>
      <c r="R74" s="23"/>
      <c r="S74" s="23"/>
      <c r="T74" s="23"/>
      <c r="U74" s="23"/>
      <c r="V74" s="23"/>
    </row>
    <row r="75" spans="1:22" ht="12.75">
      <c r="A75" s="27">
        <v>3159</v>
      </c>
      <c r="B75" s="27" t="s">
        <v>71</v>
      </c>
      <c r="C75" s="27">
        <v>20606</v>
      </c>
      <c r="D75" s="27">
        <v>1973</v>
      </c>
      <c r="E75" s="27">
        <v>4561</v>
      </c>
      <c r="F75" s="27">
        <v>12809</v>
      </c>
      <c r="G75" s="27"/>
      <c r="H75" s="27">
        <f>'Code Home'!C75*0.081*-1</f>
        <v>-1914.354</v>
      </c>
      <c r="I75" s="27"/>
      <c r="J75" s="27"/>
      <c r="K75" s="75">
        <f t="shared" si="10"/>
        <v>38034.646</v>
      </c>
      <c r="L75" s="23"/>
      <c r="M75" s="23"/>
      <c r="N75" s="23"/>
      <c r="O75" s="23"/>
      <c r="P75" s="23"/>
      <c r="Q75" s="23"/>
      <c r="R75" s="23"/>
      <c r="S75" s="23"/>
      <c r="T75" s="23"/>
      <c r="U75" s="23"/>
      <c r="V75" s="23"/>
    </row>
    <row r="76" spans="1:22" ht="12.75">
      <c r="A76" s="23"/>
      <c r="B76" s="23"/>
      <c r="C76" s="23"/>
      <c r="D76" s="23"/>
      <c r="E76" s="23"/>
      <c r="F76" s="23"/>
      <c r="G76" s="23"/>
      <c r="H76" s="23"/>
      <c r="I76" s="23"/>
      <c r="J76" s="23"/>
      <c r="K76" s="74"/>
      <c r="L76" s="23"/>
      <c r="M76" s="23"/>
      <c r="N76" s="23"/>
      <c r="O76" s="23"/>
      <c r="P76" s="23"/>
      <c r="Q76" s="23"/>
      <c r="R76" s="23"/>
      <c r="S76" s="23"/>
      <c r="T76" s="23"/>
      <c r="U76" s="23"/>
      <c r="V76" s="23"/>
    </row>
  </sheetData>
  <mergeCells count="1">
    <mergeCell ref="A1:V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dimension ref="A1:R76"/>
  <sheetViews>
    <sheetView workbookViewId="0" topLeftCell="A1">
      <selection activeCell="A9" sqref="A9"/>
    </sheetView>
  </sheetViews>
  <sheetFormatPr defaultColWidth="9.140625" defaultRowHeight="12.75"/>
  <cols>
    <col min="1" max="1" width="10.57421875" style="5" bestFit="1" customWidth="1"/>
    <col min="2" max="2" width="9.7109375" style="5" bestFit="1" customWidth="1"/>
    <col min="3" max="3" width="8.8515625" style="5" customWidth="1"/>
    <col min="4" max="5" width="8.00390625" style="5" bestFit="1" customWidth="1"/>
    <col min="6" max="6" width="9.140625" style="5" customWidth="1"/>
    <col min="7" max="7" width="10.8515625" style="5" customWidth="1"/>
    <col min="8" max="8" width="10.7109375" style="5" customWidth="1"/>
    <col min="9" max="9" width="11.140625" style="5" customWidth="1"/>
    <col min="10" max="10" width="6.00390625" style="5" customWidth="1"/>
    <col min="11" max="11" width="8.00390625" style="5" bestFit="1" customWidth="1"/>
    <col min="12" max="13" width="9.00390625" style="5" bestFit="1" customWidth="1"/>
    <col min="14" max="16" width="12.00390625" style="5" bestFit="1" customWidth="1"/>
    <col min="17" max="17" width="11.00390625" style="5" bestFit="1" customWidth="1"/>
    <col min="18" max="18" width="12.00390625" style="5" bestFit="1" customWidth="1"/>
    <col min="19" max="16384" width="8.8515625" style="5" customWidth="1"/>
  </cols>
  <sheetData>
    <row r="1" spans="1:18" ht="39" customHeight="1" thickBot="1">
      <c r="A1" s="308" t="s">
        <v>137</v>
      </c>
      <c r="B1" s="309"/>
      <c r="C1" s="309"/>
      <c r="D1" s="309"/>
      <c r="E1" s="309"/>
      <c r="F1" s="309"/>
      <c r="G1" s="309"/>
      <c r="H1" s="309"/>
      <c r="I1" s="309"/>
      <c r="J1" s="309"/>
      <c r="K1" s="309"/>
      <c r="L1" s="309"/>
      <c r="M1" s="309"/>
      <c r="N1" s="309"/>
      <c r="O1" s="309"/>
      <c r="P1" s="309"/>
      <c r="Q1" s="309"/>
      <c r="R1" s="310"/>
    </row>
    <row r="2" spans="1:18" ht="13.5" thickBot="1">
      <c r="A2" s="23"/>
      <c r="B2" s="23"/>
      <c r="C2" s="23"/>
      <c r="D2" s="23"/>
      <c r="E2" s="23"/>
      <c r="F2" s="23"/>
      <c r="G2" s="23"/>
      <c r="H2" s="23"/>
      <c r="I2" s="23"/>
      <c r="J2" s="23"/>
      <c r="K2" s="23"/>
      <c r="L2" s="23"/>
      <c r="M2" s="23"/>
      <c r="N2" s="23"/>
      <c r="O2" s="23"/>
      <c r="P2" s="23"/>
      <c r="Q2" s="23"/>
      <c r="R2" s="23"/>
    </row>
    <row r="3" spans="1:18" ht="51.75" thickBot="1">
      <c r="A3" s="19" t="s">
        <v>85</v>
      </c>
      <c r="B3" s="20"/>
      <c r="C3" s="21" t="s">
        <v>116</v>
      </c>
      <c r="D3" s="21" t="s">
        <v>117</v>
      </c>
      <c r="E3" s="21" t="s">
        <v>118</v>
      </c>
      <c r="F3" s="21" t="s">
        <v>119</v>
      </c>
      <c r="G3" s="21" t="s">
        <v>120</v>
      </c>
      <c r="H3" s="21" t="s">
        <v>121</v>
      </c>
      <c r="I3" s="21" t="s">
        <v>122</v>
      </c>
      <c r="J3" s="21" t="s">
        <v>123</v>
      </c>
      <c r="K3" s="21" t="s">
        <v>124</v>
      </c>
      <c r="L3" s="21" t="s">
        <v>125</v>
      </c>
      <c r="M3" s="21" t="s">
        <v>126</v>
      </c>
      <c r="N3" s="21" t="s">
        <v>127</v>
      </c>
      <c r="O3" s="21" t="s">
        <v>128</v>
      </c>
      <c r="P3" s="21" t="s">
        <v>129</v>
      </c>
      <c r="Q3" s="21" t="s">
        <v>130</v>
      </c>
      <c r="R3" s="71" t="s">
        <v>131</v>
      </c>
    </row>
    <row r="4" spans="1:18" ht="12.75">
      <c r="A4" s="27">
        <v>1219</v>
      </c>
      <c r="B4" s="27" t="s">
        <v>6</v>
      </c>
      <c r="C4" s="27">
        <f>'Code Home'!C4-'Energy Star Home'!C4</f>
        <v>65</v>
      </c>
      <c r="D4" s="27">
        <f>'Code Home'!D4-'Energy Star Home'!D4</f>
        <v>272</v>
      </c>
      <c r="E4" s="27">
        <f>'Code Home'!E4-'Energy Star Home'!E4</f>
        <v>92</v>
      </c>
      <c r="F4" s="27">
        <f>'Code Home'!F4-'Energy Star Home'!F4</f>
        <v>11</v>
      </c>
      <c r="G4" s="27">
        <f>'Code Home'!G4-'Energy Star Home'!G4</f>
        <v>0</v>
      </c>
      <c r="H4" s="27">
        <f>'Code Home'!H4-'Energy Star Home'!H4</f>
        <v>459</v>
      </c>
      <c r="I4" s="27">
        <f aca="true" t="shared" si="0" ref="I4:I14">C4+F4+G4</f>
        <v>76</v>
      </c>
      <c r="J4" s="27">
        <f aca="true" t="shared" si="1" ref="J4:J14">D4+E4+H4</f>
        <v>823</v>
      </c>
      <c r="K4" s="75">
        <f>I16+(Calculations!$B$5-$A16)*((I16-I4)/($A16-$A4))</f>
        <v>154.568</v>
      </c>
      <c r="L4" s="75">
        <f>J16+(Calculations!$B$5-$A16)*((J16-J4)/($A16-$A4))</f>
        <v>1348.21</v>
      </c>
      <c r="M4" s="75">
        <f>(J16-E16)+(Calculations!$B$5-$A16)*(((J16-E16)-(J4-E4))/($A16-$A4))</f>
        <v>1192.16</v>
      </c>
      <c r="N4" s="75">
        <f>I28+(Calculations!$B$5-$A28)*((I28-I16)/($A28-$A16))</f>
        <v>148.0909090909091</v>
      </c>
      <c r="O4" s="75">
        <f>J28+(Calculations!$B$5-$A28)*((J28-J16)/($A28-$A16))</f>
        <v>1411.6204545454545</v>
      </c>
      <c r="P4" s="75">
        <f>(J28-E28)+(Calculations!$B$5-$A28)*(((J28-E28)-(J16-E16))/($A28-$A16))</f>
        <v>1234.665909090909</v>
      </c>
      <c r="Q4" s="75">
        <f>$J54+(Calculations!$B$5-$A16)*((J54-J42)/($A54-$A4))</f>
        <v>3421.3738599999997</v>
      </c>
      <c r="R4" s="75">
        <f>J66+(Calculations!$B$5-$A66)*((J66-J54)/($A66-$A54))</f>
        <v>3495.3924090909086</v>
      </c>
    </row>
    <row r="5" spans="1:18" ht="12.75">
      <c r="A5" s="27">
        <v>1219</v>
      </c>
      <c r="B5" s="27" t="s">
        <v>62</v>
      </c>
      <c r="C5" s="27">
        <f>'Code Home'!C5-'Energy Star Home'!C5</f>
        <v>68</v>
      </c>
      <c r="D5" s="27">
        <f>'Code Home'!D5-'Energy Star Home'!D5</f>
        <v>265</v>
      </c>
      <c r="E5" s="27">
        <f>'Code Home'!E5-'Energy Star Home'!E5</f>
        <v>113</v>
      </c>
      <c r="F5" s="27">
        <f>'Code Home'!F5-'Energy Star Home'!F5</f>
        <v>12</v>
      </c>
      <c r="G5" s="27">
        <f>'Code Home'!G5-'Energy Star Home'!G5</f>
        <v>0</v>
      </c>
      <c r="H5" s="27">
        <f>'Code Home'!H5-'Energy Star Home'!H5</f>
        <v>459</v>
      </c>
      <c r="I5" s="27">
        <f t="shared" si="0"/>
        <v>80</v>
      </c>
      <c r="J5" s="27">
        <f t="shared" si="1"/>
        <v>837</v>
      </c>
      <c r="K5" s="75">
        <f>I17+(Calculations!$B$5-$A17)*((I17-I5)/($A17-$A5))</f>
        <v>167.962</v>
      </c>
      <c r="L5" s="75">
        <f>J17+(Calculations!$B$5-$A17)*((J17-J5)/($A17-$A5))</f>
        <v>1330.612</v>
      </c>
      <c r="M5" s="75">
        <f>(J17-E17)+(Calculations!$B$5-$A17)*(((J17-E17)-(J5-E5))/($A17-$A5))</f>
        <v>1183.452</v>
      </c>
      <c r="N5" s="75">
        <f>I29+(Calculations!$B$5-$A29)*((I29-I17)/($A29-$A17))</f>
        <v>150.15</v>
      </c>
      <c r="O5" s="75">
        <f>J29+(Calculations!$B$5-$A29)*((J29-J17)/($A29-$A17))</f>
        <v>1381.6522727272727</v>
      </c>
      <c r="P5" s="75">
        <f>(J29-E29)+(Calculations!$B$5-$A29)*(((J29-E29)-(J17-E17))/($A29-$A17))</f>
        <v>1235.6204545454545</v>
      </c>
      <c r="Q5" s="75">
        <f>$J55+(Calculations!$B$5-$A17)*((J55-J43)/($A55-$A5))</f>
        <v>3517.1811799999996</v>
      </c>
      <c r="R5" s="75">
        <f>J67+(Calculations!$B$5-$A67)*((J67-J55)/($A67-$A55))</f>
        <v>3634.5717499999996</v>
      </c>
    </row>
    <row r="6" spans="1:18" ht="12.75">
      <c r="A6" s="27">
        <v>1219</v>
      </c>
      <c r="B6" s="27" t="s">
        <v>63</v>
      </c>
      <c r="C6" s="27">
        <f>'Code Home'!C6-'Energy Star Home'!C6</f>
        <v>90</v>
      </c>
      <c r="D6" s="27">
        <f>'Code Home'!D6-'Energy Star Home'!D6</f>
        <v>328</v>
      </c>
      <c r="E6" s="27">
        <f>'Code Home'!E6-'Energy Star Home'!E6</f>
        <v>99</v>
      </c>
      <c r="F6" s="27">
        <f>'Code Home'!F6-'Energy Star Home'!F6</f>
        <v>13</v>
      </c>
      <c r="G6" s="27">
        <f>'Code Home'!G6-'Energy Star Home'!G6</f>
        <v>0</v>
      </c>
      <c r="H6" s="27">
        <f>'Code Home'!H6-'Energy Star Home'!H6</f>
        <v>459</v>
      </c>
      <c r="I6" s="27">
        <f t="shared" si="0"/>
        <v>103</v>
      </c>
      <c r="J6" s="27">
        <f t="shared" si="1"/>
        <v>886</v>
      </c>
      <c r="K6" s="75">
        <f>I18+(Calculations!$B$5-$A18)*((I18-I6)/($A18-$A6))</f>
        <v>200.356</v>
      </c>
      <c r="L6" s="75">
        <f>J18+(Calculations!$B$5-$A18)*((J18-J6)/($A18-$A6))</f>
        <v>1365.948</v>
      </c>
      <c r="M6" s="75">
        <f>(J18-E18)+(Calculations!$B$5-$A18)*(((J18-E18)-(J6-E6))/($A18-$A6))</f>
        <v>1254.138</v>
      </c>
      <c r="N6" s="75">
        <f>I30+(Calculations!$B$5-$A30)*((I30-I18)/($A30-$A18))</f>
        <v>167.725</v>
      </c>
      <c r="O6" s="75">
        <f>J30+(Calculations!$B$5-$A30)*((J30-J18)/($A30-$A18))</f>
        <v>1440.534090909091</v>
      </c>
      <c r="P6" s="75">
        <f>(J30-E30)+(Calculations!$B$5-$A30)*(((J30-E30)-(J18-E18))/($A30-$A18))</f>
        <v>1308.1181818181817</v>
      </c>
      <c r="Q6" s="75">
        <f>$J56+(Calculations!$B$5-$A18)*((J56-J44)/($A56-$A6))</f>
        <v>4886.5496</v>
      </c>
      <c r="R6" s="75">
        <f>J68+(Calculations!$B$5-$A68)*((J68-J56)/($A68-$A56))</f>
        <v>5012.932840909091</v>
      </c>
    </row>
    <row r="7" spans="1:18" ht="12.75">
      <c r="A7" s="27">
        <v>1219</v>
      </c>
      <c r="B7" s="27" t="s">
        <v>64</v>
      </c>
      <c r="C7" s="27">
        <f>'Code Home'!C7-'Energy Star Home'!C7</f>
        <v>63</v>
      </c>
      <c r="D7" s="27">
        <f>'Code Home'!D7-'Energy Star Home'!D7</f>
        <v>297</v>
      </c>
      <c r="E7" s="27">
        <f>'Code Home'!E7-'Energy Star Home'!E7</f>
        <v>96</v>
      </c>
      <c r="F7" s="27">
        <f>'Code Home'!F7-'Energy Star Home'!F7</f>
        <v>12</v>
      </c>
      <c r="G7" s="27">
        <f>'Code Home'!G7-'Energy Star Home'!G7</f>
        <v>0</v>
      </c>
      <c r="H7" s="27">
        <f>'Code Home'!H7-'Energy Star Home'!H7</f>
        <v>469</v>
      </c>
      <c r="I7" s="27">
        <f t="shared" si="0"/>
        <v>75</v>
      </c>
      <c r="J7" s="27">
        <f t="shared" si="1"/>
        <v>862</v>
      </c>
      <c r="K7" s="75">
        <f>I19+(Calculations!$B$5-$A19)*((I19-I7)/($A19-$A7))</f>
        <v>151.86</v>
      </c>
      <c r="L7" s="75">
        <f>J19+(Calculations!$B$5-$A19)*((J19-J7)/($A19-$A7))</f>
        <v>1376.108</v>
      </c>
      <c r="M7" s="75">
        <f>(J19-E19)+(Calculations!$B$5-$A19)*(((J19-E19)-(J7-E7))/($A19-$A7))</f>
        <v>1250.218</v>
      </c>
      <c r="N7" s="75">
        <f>I31+(Calculations!$B$5-$A31)*((I31-I19)/($A31-$A19))</f>
        <v>127.67045454545455</v>
      </c>
      <c r="O7" s="75">
        <f>J31+(Calculations!$B$5-$A31)*((J31-J19)/($A31-$A19))</f>
        <v>1428.1636363636364</v>
      </c>
      <c r="P7" s="75">
        <f>(J31-E31)+(Calculations!$B$5-$A31)*(((J31-E31)-(J19-E19))/($A31-$A19))</f>
        <v>1269.290909090909</v>
      </c>
      <c r="Q7" s="75">
        <f>$J57+(Calculations!$B$5-$A19)*((J57-J45)/($A57-$A7))</f>
        <v>3021.1965999999998</v>
      </c>
      <c r="R7" s="75">
        <f>J69+(Calculations!$B$5-$A69)*((J69-J57)/($A69-$A57))</f>
        <v>2818.029636363636</v>
      </c>
    </row>
    <row r="8" spans="1:18" ht="12.75">
      <c r="A8" s="27">
        <v>1219</v>
      </c>
      <c r="B8" s="27" t="s">
        <v>65</v>
      </c>
      <c r="C8" s="27">
        <f>'Code Home'!C8-'Energy Star Home'!C8</f>
        <v>85</v>
      </c>
      <c r="D8" s="27">
        <f>'Code Home'!D8-'Energy Star Home'!D8</f>
        <v>327</v>
      </c>
      <c r="E8" s="27">
        <f>'Code Home'!E8-'Energy Star Home'!E8</f>
        <v>127</v>
      </c>
      <c r="F8" s="27">
        <f>'Code Home'!F8-'Energy Star Home'!F8</f>
        <v>13</v>
      </c>
      <c r="G8" s="27">
        <f>'Code Home'!G8-'Energy Star Home'!G8</f>
        <v>0</v>
      </c>
      <c r="H8" s="27">
        <f>'Code Home'!H8-'Energy Star Home'!H8</f>
        <v>469</v>
      </c>
      <c r="I8" s="27">
        <f t="shared" si="0"/>
        <v>98</v>
      </c>
      <c r="J8" s="27">
        <f t="shared" si="1"/>
        <v>923</v>
      </c>
      <c r="K8" s="75">
        <f>I20+(Calculations!$B$5-$A20)*((I20-I8)/($A20-$A8))</f>
        <v>192.794</v>
      </c>
      <c r="L8" s="75">
        <f>J20+(Calculations!$B$5-$A20)*((J20-J8)/($A20-$A8))</f>
        <v>1343.168</v>
      </c>
      <c r="M8" s="75">
        <f>(J20-E20)+(Calculations!$B$5-$A20)*(((J20-E20)-(J8-E8))/($A20-$A8))</f>
        <v>1182.862</v>
      </c>
      <c r="N8" s="75">
        <f>I32+(Calculations!$B$5-$A32)*((I32-I20)/($A32-$A20))</f>
        <v>159.22727272727272</v>
      </c>
      <c r="O8" s="75">
        <f>J32+(Calculations!$B$5-$A32)*((J32-J20)/($A32-$A20))</f>
        <v>1319.4363636363637</v>
      </c>
      <c r="P8" s="75">
        <f>(J32-E32)+(Calculations!$B$5-$A32)*(((J32-E32)-(J20-E20))/($A32-$A20))</f>
        <v>1139.0022727272726</v>
      </c>
      <c r="Q8" s="75">
        <f>$J58+(Calculations!$B$5-$A20)*((J58-J46)/($A58-$A8))</f>
        <v>4526.40494</v>
      </c>
      <c r="R8" s="75">
        <f>J70+(Calculations!$B$5-$A70)*((J70-J58)/($A70-$A58))</f>
        <v>4281.318522727273</v>
      </c>
    </row>
    <row r="9" spans="1:18" ht="12.75">
      <c r="A9" s="27">
        <v>1219</v>
      </c>
      <c r="B9" s="27" t="s">
        <v>66</v>
      </c>
      <c r="C9" s="27">
        <f>'Code Home'!C9-'Energy Star Home'!C9</f>
        <v>87</v>
      </c>
      <c r="D9" s="27">
        <f>'Code Home'!D9-'Energy Star Home'!D9</f>
        <v>314</v>
      </c>
      <c r="E9" s="27">
        <f>'Code Home'!E9-'Energy Star Home'!E9</f>
        <v>126</v>
      </c>
      <c r="F9" s="27">
        <f>'Code Home'!F9-'Energy Star Home'!F9</f>
        <v>12</v>
      </c>
      <c r="G9" s="27">
        <f>'Code Home'!G9-'Energy Star Home'!G9</f>
        <v>0</v>
      </c>
      <c r="H9" s="27">
        <f>'Code Home'!H9-'Energy Star Home'!H9</f>
        <v>469</v>
      </c>
      <c r="I9" s="27">
        <f t="shared" si="0"/>
        <v>99</v>
      </c>
      <c r="J9" s="27">
        <f t="shared" si="1"/>
        <v>909</v>
      </c>
      <c r="K9" s="75">
        <f>I21+(Calculations!$B$5-$A21)*((I21-I9)/($A21-$A9))</f>
        <v>197.21</v>
      </c>
      <c r="L9" s="75">
        <f>J21+(Calculations!$B$5-$A21)*((J21-J9)/($A21-$A9))</f>
        <v>1408.59</v>
      </c>
      <c r="M9" s="75">
        <f>(J21-E21)+(Calculations!$B$5-$A21)*(((J21-E21)-(J9-E9))/($A21-$A9))</f>
        <v>1251.846</v>
      </c>
      <c r="N9" s="75">
        <f>I33+(Calculations!$B$5-$A33)*((I33-I21)/($A33-$A21))</f>
        <v>166.7159090909091</v>
      </c>
      <c r="O9" s="75">
        <f>J33+(Calculations!$B$5-$A33)*((J33-J21)/($A33-$A21))</f>
        <v>1450.6977272727272</v>
      </c>
      <c r="P9" s="75">
        <f>(J33-E33)+(Calculations!$B$5-$A33)*(((J33-E33)-(J21-E21))/($A33-$A21))</f>
        <v>1268.7886363636364</v>
      </c>
      <c r="Q9" s="75">
        <f>$J59+(Calculations!$B$5-$A21)*((J59-J47)/($A59-$A9))</f>
        <v>4430.8937399999995</v>
      </c>
      <c r="R9" s="75">
        <f>J71+(Calculations!$B$5-$A71)*((J71-J59)/($A71-$A59))</f>
        <v>4194.462136363636</v>
      </c>
    </row>
    <row r="10" spans="1:18" ht="12.75">
      <c r="A10" s="27">
        <v>1219</v>
      </c>
      <c r="B10" s="27" t="s">
        <v>67</v>
      </c>
      <c r="C10" s="27">
        <f>'Code Home'!C10-'Energy Star Home'!C10</f>
        <v>112</v>
      </c>
      <c r="D10" s="27">
        <f>'Code Home'!D10-'Energy Star Home'!D10</f>
        <v>301</v>
      </c>
      <c r="E10" s="27">
        <f>'Code Home'!E10-'Energy Star Home'!E10</f>
        <v>147</v>
      </c>
      <c r="F10" s="27">
        <f>'Code Home'!F10-'Energy Star Home'!F10</f>
        <v>12</v>
      </c>
      <c r="G10" s="27">
        <f>'Code Home'!G10-'Energy Star Home'!G10</f>
        <v>0</v>
      </c>
      <c r="H10" s="27">
        <f>'Code Home'!H10-'Energy Star Home'!H10</f>
        <v>470</v>
      </c>
      <c r="I10" s="27">
        <f t="shared" si="0"/>
        <v>124</v>
      </c>
      <c r="J10" s="27">
        <f t="shared" si="1"/>
        <v>918</v>
      </c>
      <c r="K10" s="75">
        <f>I22+(Calculations!$B$5-$A22)*((I22-I10)/($A22-$A10))</f>
        <v>228.188</v>
      </c>
      <c r="L10" s="75">
        <f>J22+(Calculations!$B$5-$A22)*((J22-J10)/($A22-$A10))</f>
        <v>1370.62</v>
      </c>
      <c r="M10" s="75">
        <f>(J22-E22)+(Calculations!$B$5-$A22)*(((J22-E22)-(J10-E10))/($A22-$A10))</f>
        <v>1202.27</v>
      </c>
      <c r="N10" s="75">
        <f>I34+(Calculations!$B$5-$A34)*((I34-I22)/($A34-$A22))</f>
        <v>216.6340909090909</v>
      </c>
      <c r="O10" s="75">
        <f>J34+(Calculations!$B$5-$A34)*((J34-J22)/($A34-$A22))</f>
        <v>1365.875</v>
      </c>
      <c r="P10" s="75">
        <f>(J34-E34)+(Calculations!$B$5-$A34)*(((J34-E34)-(J22-E22))/($A34-$A22))</f>
        <v>1208.3090909090909</v>
      </c>
      <c r="Q10" s="75">
        <f>$J60+(Calculations!$B$5-$A22)*((J60-J48)/($A60-$A10))</f>
        <v>4887.33536</v>
      </c>
      <c r="R10" s="75">
        <f>J72+(Calculations!$B$5-$A72)*((J72-J60)/($A72-$A60))</f>
        <v>4645.413227272727</v>
      </c>
    </row>
    <row r="11" spans="1:18" ht="12.75">
      <c r="A11" s="27">
        <v>1219</v>
      </c>
      <c r="B11" s="27" t="s">
        <v>68</v>
      </c>
      <c r="C11" s="27">
        <f>'Code Home'!C11-'Energy Star Home'!C11</f>
        <v>122</v>
      </c>
      <c r="D11" s="27">
        <f>'Code Home'!D11-'Energy Star Home'!D11</f>
        <v>336</v>
      </c>
      <c r="E11" s="27">
        <f>'Code Home'!E11-'Energy Star Home'!E11</f>
        <v>85</v>
      </c>
      <c r="F11" s="27">
        <f>'Code Home'!F11-'Energy Star Home'!F11</f>
        <v>13</v>
      </c>
      <c r="G11" s="27">
        <f>'Code Home'!G11-'Energy Star Home'!G11</f>
        <v>0</v>
      </c>
      <c r="H11" s="27">
        <f>'Code Home'!H11-'Energy Star Home'!H11</f>
        <v>470</v>
      </c>
      <c r="I11" s="27">
        <f t="shared" si="0"/>
        <v>135</v>
      </c>
      <c r="J11" s="27">
        <f t="shared" si="1"/>
        <v>891</v>
      </c>
      <c r="K11" s="75">
        <f>I23+(Calculations!$B$5-$A23)*((I23-I11)/($A23-$A11))</f>
        <v>252.852</v>
      </c>
      <c r="L11" s="75">
        <f>J23+(Calculations!$B$5-$A23)*((J23-J11)/($A23-$A11))</f>
        <v>1323.124</v>
      </c>
      <c r="M11" s="75">
        <f>(J23-E23)+(Calculations!$B$5-$A23)*(((J23-E23)-(J11-E11))/($A23-$A11))</f>
        <v>1203.964</v>
      </c>
      <c r="N11" s="75">
        <f>I35+(Calculations!$B$5-$A35)*((I35-I23)/($A35-$A23))</f>
        <v>239.15454545454546</v>
      </c>
      <c r="O11" s="75">
        <f>J35+(Calculations!$B$5-$A35)*((J35-J23)/($A35-$A23))</f>
        <v>1294.4681818181818</v>
      </c>
      <c r="P11" s="75">
        <f>(J35-E35)+(Calculations!$B$5-$A35)*(((J35-E35)-(J23-E23))/($A35-$A23))</f>
        <v>1170.9613636363636</v>
      </c>
      <c r="Q11" s="75">
        <f>$J61+(Calculations!$B$5-$A23)*((J61-J49)/($A61-$A11))</f>
        <v>5744.92446</v>
      </c>
      <c r="R11" s="75">
        <f>J73+(Calculations!$B$5-$A73)*((J73-J61)/($A73-$A61))</f>
        <v>5467.673977272727</v>
      </c>
    </row>
    <row r="12" spans="1:18" ht="12.75">
      <c r="A12" s="27">
        <v>1219</v>
      </c>
      <c r="B12" s="27" t="s">
        <v>69</v>
      </c>
      <c r="C12" s="27">
        <f>'Code Home'!C12-'Energy Star Home'!C12</f>
        <v>136</v>
      </c>
      <c r="D12" s="27">
        <f>'Code Home'!D12-'Energy Star Home'!D12</f>
        <v>386</v>
      </c>
      <c r="E12" s="27">
        <f>'Code Home'!E12-'Energy Star Home'!E12</f>
        <v>71</v>
      </c>
      <c r="F12" s="27">
        <f>'Code Home'!F12-'Energy Star Home'!F12</f>
        <v>14</v>
      </c>
      <c r="G12" s="27">
        <f>'Code Home'!G12-'Energy Star Home'!G12</f>
        <v>0</v>
      </c>
      <c r="H12" s="27">
        <f>'Code Home'!H12-'Energy Star Home'!H12</f>
        <v>470</v>
      </c>
      <c r="I12" s="27">
        <f t="shared" si="0"/>
        <v>150</v>
      </c>
      <c r="J12" s="27">
        <f t="shared" si="1"/>
        <v>927</v>
      </c>
      <c r="K12" s="75">
        <f>I24+(Calculations!$B$5-$A24)*((I24-I12)/($A24-$A12))</f>
        <v>245.648</v>
      </c>
      <c r="L12" s="75">
        <f>J24+(Calculations!$B$5-$A24)*((J24-J12)/($A24-$A12))</f>
        <v>1594.828</v>
      </c>
      <c r="M12" s="75">
        <f>(J24-E24)+(Calculations!$B$5-$A24)*(((J24-E24)-(J12-E12))/($A24-$A12))</f>
        <v>1479.42</v>
      </c>
      <c r="N12" s="75">
        <f>I36+(Calculations!$B$5-$A36)*((I36-I24)/($A36-$A24))</f>
        <v>204.26363636363638</v>
      </c>
      <c r="O12" s="75">
        <f>J36+(Calculations!$B$5-$A36)*((J36-J24)/($A36-$A24))</f>
        <v>1632.8477272727273</v>
      </c>
      <c r="P12" s="75">
        <f>(J36-E36)+(Calculations!$B$5-$A36)*(((J36-E36)-(J24-E24))/($A36-$A24))</f>
        <v>1492.4272727272728</v>
      </c>
      <c r="Q12" s="75">
        <f>$J62+(Calculations!$B$5-$A24)*((J62-J50)/($A62-$A12))</f>
        <v>6386.54316</v>
      </c>
      <c r="R12" s="75">
        <f>J74+(Calculations!$B$5-$A74)*((J74-J62)/($A74-$A62))</f>
        <v>6240.124272727273</v>
      </c>
    </row>
    <row r="13" spans="1:18" ht="12.75">
      <c r="A13" s="27">
        <v>1219</v>
      </c>
      <c r="B13" s="27" t="s">
        <v>70</v>
      </c>
      <c r="C13" s="27">
        <f>'Code Home'!C13-'Energy Star Home'!C13</f>
        <v>137</v>
      </c>
      <c r="D13" s="27">
        <f>'Code Home'!D13-'Energy Star Home'!D13</f>
        <v>386</v>
      </c>
      <c r="E13" s="27">
        <f>'Code Home'!E13-'Energy Star Home'!E13</f>
        <v>59</v>
      </c>
      <c r="F13" s="27">
        <f>'Code Home'!F13-'Energy Star Home'!F13</f>
        <v>13</v>
      </c>
      <c r="G13" s="27">
        <f>'Code Home'!G13-'Energy Star Home'!G13</f>
        <v>0</v>
      </c>
      <c r="H13" s="27">
        <f>'Code Home'!H13-'Energy Star Home'!H13</f>
        <v>470</v>
      </c>
      <c r="I13" s="27">
        <f t="shared" si="0"/>
        <v>150</v>
      </c>
      <c r="J13" s="27">
        <f t="shared" si="1"/>
        <v>915</v>
      </c>
      <c r="K13" s="75">
        <f>I25+(Calculations!$B$5-$A25)*((I25-I13)/($A25-$A13))</f>
        <v>242.232</v>
      </c>
      <c r="L13" s="75">
        <f>J25+(Calculations!$B$5-$A25)*((J25-J13)/($A25-$A13))</f>
        <v>1552.938</v>
      </c>
      <c r="M13" s="75">
        <f>(J25-E25)+(Calculations!$B$5-$A25)*(((J25-E25)-(J13-E13))/($A25-$A13))</f>
        <v>1455.508</v>
      </c>
      <c r="N13" s="75">
        <f>I37+(Calculations!$B$5-$A37)*((I37-I25)/($A37-$A25))</f>
        <v>198.27272727272728</v>
      </c>
      <c r="O13" s="75">
        <f>J37+(Calculations!$B$5-$A37)*((J37-J25)/($A37-$A25))</f>
        <v>1564.4454545454546</v>
      </c>
      <c r="P13" s="75">
        <f>(J37-E37)+(Calculations!$B$5-$A37)*(((J37-E37)-(J25-E25))/($A37-$A25))</f>
        <v>1440.5363636363636</v>
      </c>
      <c r="Q13" s="75">
        <f>$J63+(Calculations!$B$5-$A25)*((J63-J51)/($A63-$A13))</f>
        <v>6047.58588</v>
      </c>
      <c r="R13" s="75">
        <f>J75+(Calculations!$B$5-$A75)*((J75-J63)/($A75-$A63))</f>
        <v>5864.263568181818</v>
      </c>
    </row>
    <row r="14" spans="1:18" ht="12.75">
      <c r="A14" s="27">
        <v>1219</v>
      </c>
      <c r="B14" s="27" t="s">
        <v>71</v>
      </c>
      <c r="C14" s="27">
        <f>'Code Home'!C14-'Energy Star Home'!C14</f>
        <v>119</v>
      </c>
      <c r="D14" s="27">
        <f>'Code Home'!D14-'Energy Star Home'!D14</f>
        <v>341</v>
      </c>
      <c r="E14" s="27">
        <f>'Code Home'!E14-'Energy Star Home'!E14</f>
        <v>93</v>
      </c>
      <c r="F14" s="27">
        <f>'Code Home'!F14-'Energy Star Home'!F14</f>
        <v>12</v>
      </c>
      <c r="G14" s="27">
        <f>'Code Home'!G14-'Energy Star Home'!G14</f>
        <v>0</v>
      </c>
      <c r="H14" s="27">
        <f>'Code Home'!H14-'Energy Star Home'!H14</f>
        <v>470</v>
      </c>
      <c r="I14" s="27">
        <f t="shared" si="0"/>
        <v>131</v>
      </c>
      <c r="J14" s="27">
        <f t="shared" si="1"/>
        <v>904</v>
      </c>
      <c r="K14" s="75">
        <f>I26+(Calculations!$B$5-$A26)*((I26-I14)/($A26-$A14))</f>
        <v>215.546</v>
      </c>
      <c r="L14" s="75">
        <f>J26+(Calculations!$B$5-$A26)*((J26-J14)/($A26-$A14))</f>
        <v>1607.696</v>
      </c>
      <c r="M14" s="75">
        <f>(J26-E26)+(Calculations!$B$5-$A26)*(((J26-E26)-(J14-E14))/($A26-$A14))</f>
        <v>1438.69</v>
      </c>
      <c r="N14" s="75">
        <f>I38+(Calculations!$B$5-$A38)*((I38-I26)/($A38-$A26))</f>
        <v>178.7340909090909</v>
      </c>
      <c r="O14" s="75">
        <f>J38+(Calculations!$B$5-$A38)*((J38-J26)/($A38-$A26))</f>
        <v>1660.3090909090909</v>
      </c>
      <c r="P14" s="75">
        <f>(J38-E38)+(Calculations!$B$5-$A38)*(((J38-E38)-(J26-E26))/($A38-$A26))</f>
        <v>1456.409090909091</v>
      </c>
      <c r="Q14" s="75">
        <f>$J64+(Calculations!$B$5-$A26)*((J64-J52)/($A64-$A14))</f>
        <v>5718.24658</v>
      </c>
      <c r="R14" s="75">
        <f>J76+(Calculations!$B$5-$A76)*((J76-J64)/($A76-$A64))</f>
        <v>5539.809295454546</v>
      </c>
    </row>
    <row r="15" spans="1:18" ht="12.75">
      <c r="A15" s="27"/>
      <c r="B15" s="27"/>
      <c r="C15" s="27"/>
      <c r="D15" s="27"/>
      <c r="E15" s="27"/>
      <c r="F15" s="27"/>
      <c r="G15" s="27"/>
      <c r="H15" s="27"/>
      <c r="I15" s="27"/>
      <c r="J15" s="27"/>
      <c r="K15" s="27"/>
      <c r="L15" s="27"/>
      <c r="M15" s="27"/>
      <c r="N15" s="27"/>
      <c r="O15" s="27"/>
      <c r="P15" s="27"/>
      <c r="Q15" s="27"/>
      <c r="R15" s="27"/>
    </row>
    <row r="16" spans="1:18" ht="12.75">
      <c r="A16" s="27">
        <v>2719</v>
      </c>
      <c r="B16" s="27" t="s">
        <v>6</v>
      </c>
      <c r="C16" s="27">
        <f>'Code Home'!C16-'Energy Star Home'!C16</f>
        <v>156</v>
      </c>
      <c r="D16" s="27">
        <f>'Code Home'!D16-'Energy Star Home'!D16</f>
        <v>432</v>
      </c>
      <c r="E16" s="27">
        <f>'Code Home'!E16-'Energy Star Home'!E16</f>
        <v>167</v>
      </c>
      <c r="F16" s="27">
        <f>'Code Home'!F16-'Energy Star Home'!F16</f>
        <v>12</v>
      </c>
      <c r="G16" s="27">
        <f>'Code Home'!G16-'Energy Star Home'!G16</f>
        <v>0</v>
      </c>
      <c r="H16" s="27">
        <f>'Code Home'!H16-'Energy Star Home'!H16</f>
        <v>839</v>
      </c>
      <c r="I16" s="27">
        <f aca="true" t="shared" si="2" ref="I16:I26">C16+F16+G16</f>
        <v>168</v>
      </c>
      <c r="J16" s="27">
        <f aca="true" t="shared" si="3" ref="J16:J26">D16+E16+H16</f>
        <v>1438</v>
      </c>
      <c r="K16" s="27"/>
      <c r="L16" s="27"/>
      <c r="M16" s="27"/>
      <c r="N16" s="27"/>
      <c r="O16" s="27"/>
      <c r="P16" s="27"/>
      <c r="Q16" s="27"/>
      <c r="R16" s="27"/>
    </row>
    <row r="17" spans="1:18" ht="12.75">
      <c r="A17" s="27">
        <v>2719</v>
      </c>
      <c r="B17" s="27" t="s">
        <v>62</v>
      </c>
      <c r="C17" s="27">
        <f>'Code Home'!C17-'Energy Star Home'!C17</f>
        <v>161</v>
      </c>
      <c r="D17" s="27">
        <f>'Code Home'!D17-'Energy Star Home'!D17</f>
        <v>423</v>
      </c>
      <c r="E17" s="27">
        <f>'Code Home'!E17-'Energy Star Home'!E17</f>
        <v>153</v>
      </c>
      <c r="F17" s="27">
        <f>'Code Home'!F17-'Energy Star Home'!F17</f>
        <v>22</v>
      </c>
      <c r="G17" s="27">
        <f>'Code Home'!G17-'Energy Star Home'!G17</f>
        <v>0</v>
      </c>
      <c r="H17" s="27">
        <f>'Code Home'!H17-'Energy Star Home'!H17</f>
        <v>839</v>
      </c>
      <c r="I17" s="27">
        <f t="shared" si="2"/>
        <v>183</v>
      </c>
      <c r="J17" s="27">
        <f t="shared" si="3"/>
        <v>1415</v>
      </c>
      <c r="K17" s="27"/>
      <c r="L17" s="27"/>
      <c r="M17" s="27"/>
      <c r="N17" s="27"/>
      <c r="O17" s="27"/>
      <c r="P17" s="27"/>
      <c r="Q17" s="27"/>
      <c r="R17" s="27"/>
    </row>
    <row r="18" spans="1:18" ht="12.75">
      <c r="A18" s="27">
        <v>2719</v>
      </c>
      <c r="B18" s="27" t="s">
        <v>63</v>
      </c>
      <c r="C18" s="27">
        <f>'Code Home'!C18-'Energy Star Home'!C18</f>
        <v>204</v>
      </c>
      <c r="D18" s="27">
        <f>'Code Home'!D18-'Energy Star Home'!D18</f>
        <v>495</v>
      </c>
      <c r="E18" s="27">
        <f>'Code Home'!E18-'Energy Star Home'!E18</f>
        <v>114</v>
      </c>
      <c r="F18" s="27">
        <f>'Code Home'!F18-'Energy Star Home'!F18</f>
        <v>13</v>
      </c>
      <c r="G18" s="27">
        <f>'Code Home'!G18-'Energy Star Home'!G18</f>
        <v>0</v>
      </c>
      <c r="H18" s="27">
        <f>'Code Home'!H18-'Energy Star Home'!H18</f>
        <v>839</v>
      </c>
      <c r="I18" s="27">
        <f t="shared" si="2"/>
        <v>217</v>
      </c>
      <c r="J18" s="27">
        <f t="shared" si="3"/>
        <v>1448</v>
      </c>
      <c r="K18" s="27"/>
      <c r="L18" s="27"/>
      <c r="M18" s="27"/>
      <c r="N18" s="27"/>
      <c r="O18" s="27"/>
      <c r="P18" s="27"/>
      <c r="Q18" s="27"/>
      <c r="R18" s="27"/>
    </row>
    <row r="19" spans="1:18" ht="12.75">
      <c r="A19" s="27">
        <v>2719</v>
      </c>
      <c r="B19" s="27" t="s">
        <v>64</v>
      </c>
      <c r="C19" s="27">
        <f>'Code Home'!C19-'Energy Star Home'!C19</f>
        <v>152</v>
      </c>
      <c r="D19" s="27">
        <f>'Code Home'!D19-'Energy Star Home'!D19</f>
        <v>472</v>
      </c>
      <c r="E19" s="27">
        <f>'Code Home'!E19-'Energy Star Home'!E19</f>
        <v>131</v>
      </c>
      <c r="F19" s="27">
        <f>'Code Home'!F19-'Energy Star Home'!F19</f>
        <v>13</v>
      </c>
      <c r="G19" s="27">
        <f>'Code Home'!G19-'Energy Star Home'!G19</f>
        <v>0</v>
      </c>
      <c r="H19" s="27">
        <f>'Code Home'!H19-'Energy Star Home'!H19</f>
        <v>861</v>
      </c>
      <c r="I19" s="27">
        <f t="shared" si="2"/>
        <v>165</v>
      </c>
      <c r="J19" s="27">
        <f t="shared" si="3"/>
        <v>1464</v>
      </c>
      <c r="K19" s="27"/>
      <c r="L19" s="27"/>
      <c r="M19" s="27"/>
      <c r="N19" s="27"/>
      <c r="O19" s="27"/>
      <c r="P19" s="27"/>
      <c r="Q19" s="27"/>
      <c r="R19" s="27"/>
    </row>
    <row r="20" spans="1:18" ht="12.75">
      <c r="A20" s="27">
        <v>2719</v>
      </c>
      <c r="B20" s="27" t="s">
        <v>65</v>
      </c>
      <c r="C20" s="27">
        <f>'Code Home'!C20-'Energy Star Home'!C20</f>
        <v>195</v>
      </c>
      <c r="D20" s="27">
        <f>'Code Home'!D20-'Energy Star Home'!D20</f>
        <v>388</v>
      </c>
      <c r="E20" s="27">
        <f>'Code Home'!E20-'Energy Star Home'!E20</f>
        <v>166</v>
      </c>
      <c r="F20" s="27">
        <f>'Code Home'!F20-'Energy Star Home'!F20</f>
        <v>14</v>
      </c>
      <c r="G20" s="27">
        <f>'Code Home'!G20-'Energy Star Home'!G20</f>
        <v>0</v>
      </c>
      <c r="H20" s="27">
        <f>'Code Home'!H20-'Energy Star Home'!H20</f>
        <v>861</v>
      </c>
      <c r="I20" s="27">
        <f t="shared" si="2"/>
        <v>209</v>
      </c>
      <c r="J20" s="27">
        <f t="shared" si="3"/>
        <v>1415</v>
      </c>
      <c r="K20" s="27"/>
      <c r="L20" s="27"/>
      <c r="M20" s="27"/>
      <c r="N20" s="27"/>
      <c r="O20" s="27"/>
      <c r="P20" s="27"/>
      <c r="Q20" s="27"/>
      <c r="R20" s="27"/>
    </row>
    <row r="21" spans="1:18" ht="12.75">
      <c r="A21" s="27">
        <v>2719</v>
      </c>
      <c r="B21" s="27" t="s">
        <v>66</v>
      </c>
      <c r="C21" s="27">
        <f>'Code Home'!C21-'Energy Star Home'!C21</f>
        <v>201</v>
      </c>
      <c r="D21" s="27">
        <f>'Code Home'!D21-'Energy Star Home'!D21</f>
        <v>471</v>
      </c>
      <c r="E21" s="27">
        <f>'Code Home'!E21-'Energy Star Home'!E21</f>
        <v>162</v>
      </c>
      <c r="F21" s="27">
        <f>'Code Home'!F21-'Energy Star Home'!F21</f>
        <v>13</v>
      </c>
      <c r="G21" s="27">
        <f>'Code Home'!G21-'Energy Star Home'!G21</f>
        <v>0</v>
      </c>
      <c r="H21" s="27">
        <f>'Code Home'!H21-'Energy Star Home'!H21</f>
        <v>861</v>
      </c>
      <c r="I21" s="27">
        <f t="shared" si="2"/>
        <v>214</v>
      </c>
      <c r="J21" s="27">
        <f t="shared" si="3"/>
        <v>1494</v>
      </c>
      <c r="K21" s="27"/>
      <c r="L21" s="27"/>
      <c r="M21" s="27"/>
      <c r="N21" s="27"/>
      <c r="O21" s="27"/>
      <c r="P21" s="27"/>
      <c r="Q21" s="27"/>
      <c r="R21" s="27"/>
    </row>
    <row r="22" spans="1:18" ht="12.75">
      <c r="A22" s="27">
        <v>2719</v>
      </c>
      <c r="B22" s="27" t="s">
        <v>67</v>
      </c>
      <c r="C22" s="27">
        <f>'Code Home'!C22-'Energy Star Home'!C22</f>
        <v>233</v>
      </c>
      <c r="D22" s="27">
        <f>'Code Home'!D22-'Energy Star Home'!D22</f>
        <v>437</v>
      </c>
      <c r="E22" s="27">
        <f>'Code Home'!E22-'Energy Star Home'!E22</f>
        <v>172</v>
      </c>
      <c r="F22" s="27">
        <f>'Code Home'!F22-'Energy Star Home'!F22</f>
        <v>13</v>
      </c>
      <c r="G22" s="27">
        <f>'Code Home'!G22-'Energy Star Home'!G22</f>
        <v>0</v>
      </c>
      <c r="H22" s="27">
        <f>'Code Home'!H22-'Energy Star Home'!H22</f>
        <v>839</v>
      </c>
      <c r="I22" s="27">
        <f t="shared" si="2"/>
        <v>246</v>
      </c>
      <c r="J22" s="27">
        <f t="shared" si="3"/>
        <v>1448</v>
      </c>
      <c r="K22" s="27"/>
      <c r="L22" s="27"/>
      <c r="M22" s="27"/>
      <c r="N22" s="27"/>
      <c r="O22" s="27"/>
      <c r="P22" s="27"/>
      <c r="Q22" s="27"/>
      <c r="R22" s="27"/>
    </row>
    <row r="23" spans="1:18" ht="12.75">
      <c r="A23" s="27">
        <v>2719</v>
      </c>
      <c r="B23" s="27" t="s">
        <v>68</v>
      </c>
      <c r="C23" s="27">
        <f>'Code Home'!C23-'Energy Star Home'!C23</f>
        <v>259</v>
      </c>
      <c r="D23" s="27">
        <f>'Code Home'!D23-'Energy Star Home'!D23</f>
        <v>433</v>
      </c>
      <c r="E23" s="27">
        <f>'Code Home'!E23-'Energy Star Home'!E23</f>
        <v>125</v>
      </c>
      <c r="F23" s="27">
        <f>'Code Home'!F23-'Energy Star Home'!F23</f>
        <v>14</v>
      </c>
      <c r="G23" s="27">
        <f>'Code Home'!G23-'Energy Star Home'!G23</f>
        <v>0</v>
      </c>
      <c r="H23" s="27">
        <f>'Code Home'!H23-'Energy Star Home'!H23</f>
        <v>839</v>
      </c>
      <c r="I23" s="27">
        <f t="shared" si="2"/>
        <v>273</v>
      </c>
      <c r="J23" s="27">
        <f t="shared" si="3"/>
        <v>1397</v>
      </c>
      <c r="K23" s="27"/>
      <c r="L23" s="27"/>
      <c r="M23" s="27"/>
      <c r="N23" s="27"/>
      <c r="O23" s="27"/>
      <c r="P23" s="27"/>
      <c r="Q23" s="27"/>
      <c r="R23" s="27"/>
    </row>
    <row r="24" spans="1:18" ht="12.75">
      <c r="A24" s="27">
        <v>2719</v>
      </c>
      <c r="B24" s="27" t="s">
        <v>69</v>
      </c>
      <c r="C24" s="27">
        <f>'Code Home'!C24-'Energy Star Home'!C24</f>
        <v>248</v>
      </c>
      <c r="D24" s="27">
        <f>'Code Home'!D24-'Energy Star Home'!D24</f>
        <v>380</v>
      </c>
      <c r="E24" s="27">
        <f>'Code Home'!E24-'Energy Star Home'!E24</f>
        <v>123</v>
      </c>
      <c r="F24" s="27">
        <f>'Code Home'!F24-'Energy Star Home'!F24</f>
        <v>14</v>
      </c>
      <c r="G24" s="27">
        <f>'Code Home'!G24-'Energy Star Home'!G24</f>
        <v>0</v>
      </c>
      <c r="H24" s="27">
        <f>'Code Home'!H24-'Energy Star Home'!H24</f>
        <v>1206</v>
      </c>
      <c r="I24" s="27">
        <f t="shared" si="2"/>
        <v>262</v>
      </c>
      <c r="J24" s="27">
        <f t="shared" si="3"/>
        <v>1709</v>
      </c>
      <c r="K24" s="27"/>
      <c r="L24" s="27"/>
      <c r="M24" s="27"/>
      <c r="N24" s="27"/>
      <c r="O24" s="27"/>
      <c r="P24" s="27"/>
      <c r="Q24" s="27"/>
      <c r="R24" s="27"/>
    </row>
    <row r="25" spans="1:18" ht="12.75">
      <c r="A25" s="27">
        <v>2719</v>
      </c>
      <c r="B25" s="27" t="s">
        <v>70</v>
      </c>
      <c r="C25" s="27">
        <f>'Code Home'!C25-'Energy Star Home'!C25</f>
        <v>245</v>
      </c>
      <c r="D25" s="27">
        <f>'Code Home'!D25-'Energy Star Home'!D25</f>
        <v>352</v>
      </c>
      <c r="E25" s="27">
        <f>'Code Home'!E25-'Energy Star Home'!E25</f>
        <v>104</v>
      </c>
      <c r="F25" s="27">
        <f>'Code Home'!F25-'Energy Star Home'!F25</f>
        <v>13</v>
      </c>
      <c r="G25" s="27">
        <f>'Code Home'!G25-'Energy Star Home'!G25</f>
        <v>0</v>
      </c>
      <c r="H25" s="27">
        <f>'Code Home'!H25-'Energy Star Home'!H25</f>
        <v>1206</v>
      </c>
      <c r="I25" s="27">
        <f t="shared" si="2"/>
        <v>258</v>
      </c>
      <c r="J25" s="27">
        <f t="shared" si="3"/>
        <v>1662</v>
      </c>
      <c r="K25" s="27"/>
      <c r="L25" s="27"/>
      <c r="M25" s="27"/>
      <c r="N25" s="27"/>
      <c r="O25" s="27"/>
      <c r="P25" s="27"/>
      <c r="Q25" s="27"/>
      <c r="R25" s="27"/>
    </row>
    <row r="26" spans="1:18" ht="12.75">
      <c r="A26" s="27">
        <v>2719</v>
      </c>
      <c r="B26" s="27" t="s">
        <v>71</v>
      </c>
      <c r="C26" s="27">
        <f>'Code Home'!C26-'Energy Star Home'!C26</f>
        <v>217</v>
      </c>
      <c r="D26" s="27">
        <f>'Code Home'!D26-'Energy Star Home'!D26</f>
        <v>340</v>
      </c>
      <c r="E26" s="27">
        <f>'Code Home'!E26-'Energy Star Home'!E26</f>
        <v>182</v>
      </c>
      <c r="F26" s="27">
        <f>'Code Home'!F26-'Energy Star Home'!F26</f>
        <v>13</v>
      </c>
      <c r="G26" s="27">
        <f>'Code Home'!G26-'Energy Star Home'!G26</f>
        <v>0</v>
      </c>
      <c r="H26" s="27">
        <f>'Code Home'!H26-'Energy Star Home'!H26</f>
        <v>1206</v>
      </c>
      <c r="I26" s="27">
        <f t="shared" si="2"/>
        <v>230</v>
      </c>
      <c r="J26" s="27">
        <f t="shared" si="3"/>
        <v>1728</v>
      </c>
      <c r="K26" s="27"/>
      <c r="L26" s="27"/>
      <c r="M26" s="27"/>
      <c r="N26" s="27"/>
      <c r="O26" s="27"/>
      <c r="P26" s="27"/>
      <c r="Q26" s="27"/>
      <c r="R26" s="27"/>
    </row>
    <row r="27" spans="1:18" ht="12.75">
      <c r="A27" s="27"/>
      <c r="B27" s="27"/>
      <c r="C27" s="27"/>
      <c r="D27" s="27"/>
      <c r="E27" s="27"/>
      <c r="F27" s="27"/>
      <c r="G27" s="27"/>
      <c r="H27" s="27"/>
      <c r="I27" s="27"/>
      <c r="J27" s="27"/>
      <c r="K27" s="27"/>
      <c r="L27" s="27"/>
      <c r="M27" s="27"/>
      <c r="N27" s="27"/>
      <c r="O27" s="27"/>
      <c r="P27" s="27"/>
      <c r="Q27" s="27"/>
      <c r="R27" s="27"/>
    </row>
    <row r="28" spans="1:18" ht="12.75">
      <c r="A28" s="27">
        <v>3159</v>
      </c>
      <c r="B28" s="27" t="s">
        <v>6</v>
      </c>
      <c r="C28" s="27">
        <f>'Code Home'!C28-'Energy Star Home'!C28</f>
        <v>196</v>
      </c>
      <c r="D28" s="27">
        <f>'Code Home'!D28-'Energy Star Home'!D28</f>
        <v>458</v>
      </c>
      <c r="E28" s="27">
        <f>'Code Home'!E28-'Energy Star Home'!E28</f>
        <v>147</v>
      </c>
      <c r="F28" s="27">
        <f>'Code Home'!F28-'Energy Star Home'!F28</f>
        <v>12</v>
      </c>
      <c r="G28" s="27">
        <f>'Code Home'!G28-'Energy Star Home'!G28</f>
        <v>0</v>
      </c>
      <c r="H28" s="27">
        <f>'Code Home'!H28-'Energy Star Home'!H28</f>
        <v>886</v>
      </c>
      <c r="I28" s="27">
        <f aca="true" t="shared" si="4" ref="I28:I38">C28+F28+G28</f>
        <v>208</v>
      </c>
      <c r="J28" s="27">
        <f aca="true" t="shared" si="5" ref="J28:J38">D28+E28+H28</f>
        <v>1491</v>
      </c>
      <c r="K28" s="27"/>
      <c r="L28" s="27"/>
      <c r="M28" s="27"/>
      <c r="N28" s="27"/>
      <c r="O28" s="27"/>
      <c r="P28" s="27"/>
      <c r="Q28" s="27"/>
      <c r="R28" s="27"/>
    </row>
    <row r="29" spans="1:18" ht="12.75">
      <c r="A29" s="27">
        <v>3159</v>
      </c>
      <c r="B29" s="27" t="s">
        <v>62</v>
      </c>
      <c r="C29" s="27">
        <f>'Code Home'!C29-'Energy Star Home'!C29</f>
        <v>237</v>
      </c>
      <c r="D29" s="27">
        <f>'Code Home'!D29-'Energy Star Home'!D29</f>
        <v>429</v>
      </c>
      <c r="E29" s="27">
        <f>'Code Home'!E29-'Energy Star Home'!E29</f>
        <v>167</v>
      </c>
      <c r="F29" s="27">
        <f>'Code Home'!F29-'Energy Star Home'!F29</f>
        <v>12</v>
      </c>
      <c r="G29" s="27">
        <f>'Code Home'!G29-'Energy Star Home'!G29</f>
        <v>0</v>
      </c>
      <c r="H29" s="27">
        <f>'Code Home'!H29-'Energy Star Home'!H29</f>
        <v>886</v>
      </c>
      <c r="I29" s="27">
        <f t="shared" si="4"/>
        <v>249</v>
      </c>
      <c r="J29" s="27">
        <f t="shared" si="5"/>
        <v>1482</v>
      </c>
      <c r="K29" s="27"/>
      <c r="L29" s="27"/>
      <c r="M29" s="27"/>
      <c r="N29" s="27"/>
      <c r="O29" s="27"/>
      <c r="P29" s="27"/>
      <c r="Q29" s="27"/>
      <c r="R29" s="27"/>
    </row>
    <row r="30" spans="1:18" ht="12.75">
      <c r="A30" s="27">
        <v>3159</v>
      </c>
      <c r="B30" s="27" t="s">
        <v>63</v>
      </c>
      <c r="C30" s="27">
        <f>'Code Home'!C30-'Energy Star Home'!C30</f>
        <v>303</v>
      </c>
      <c r="D30" s="27">
        <f>'Code Home'!D30-'Energy Star Home'!D30</f>
        <v>500</v>
      </c>
      <c r="E30" s="27">
        <f>'Code Home'!E30-'Energy Star Home'!E30</f>
        <v>77</v>
      </c>
      <c r="F30" s="27">
        <f>'Code Home'!F30-'Energy Star Home'!F30</f>
        <v>13</v>
      </c>
      <c r="G30" s="27">
        <f>'Code Home'!G30-'Energy Star Home'!G30</f>
        <v>0</v>
      </c>
      <c r="H30" s="27">
        <f>'Code Home'!H30-'Energy Star Home'!H30</f>
        <v>886</v>
      </c>
      <c r="I30" s="27">
        <f t="shared" si="4"/>
        <v>316</v>
      </c>
      <c r="J30" s="27">
        <f t="shared" si="5"/>
        <v>1463</v>
      </c>
      <c r="K30" s="27"/>
      <c r="L30" s="27"/>
      <c r="M30" s="27"/>
      <c r="N30" s="27"/>
      <c r="O30" s="27"/>
      <c r="P30" s="27"/>
      <c r="Q30" s="27"/>
      <c r="R30" s="27"/>
    </row>
    <row r="31" spans="1:18" ht="12.75">
      <c r="A31" s="27">
        <v>3159</v>
      </c>
      <c r="B31" s="27" t="s">
        <v>64</v>
      </c>
      <c r="C31" s="27">
        <f>'Code Home'!C31-'Energy Star Home'!C31</f>
        <v>227</v>
      </c>
      <c r="D31" s="27">
        <f>'Code Home'!D31-'Energy Star Home'!D31</f>
        <v>487</v>
      </c>
      <c r="E31" s="27">
        <f>'Code Home'!E31-'Energy Star Home'!E31</f>
        <v>75</v>
      </c>
      <c r="F31" s="27">
        <f>'Code Home'!F31-'Energy Star Home'!F31</f>
        <v>13</v>
      </c>
      <c r="G31" s="27">
        <f>'Code Home'!G31-'Energy Star Home'!G31</f>
        <v>0</v>
      </c>
      <c r="H31" s="27">
        <f>'Code Home'!H31-'Energy Star Home'!H31</f>
        <v>974</v>
      </c>
      <c r="I31" s="27">
        <f t="shared" si="4"/>
        <v>240</v>
      </c>
      <c r="J31" s="27">
        <f t="shared" si="5"/>
        <v>1536</v>
      </c>
      <c r="K31" s="27"/>
      <c r="L31" s="27"/>
      <c r="M31" s="27"/>
      <c r="N31" s="27"/>
      <c r="O31" s="27"/>
      <c r="P31" s="27"/>
      <c r="Q31" s="27"/>
      <c r="R31" s="27"/>
    </row>
    <row r="32" spans="1:18" ht="12.75">
      <c r="A32" s="27">
        <v>3159</v>
      </c>
      <c r="B32" s="27" t="s">
        <v>65</v>
      </c>
      <c r="C32" s="27">
        <f>'Code Home'!C32-'Energy Star Home'!C32</f>
        <v>295</v>
      </c>
      <c r="D32" s="27">
        <f>'Code Home'!D32-'Energy Star Home'!D32</f>
        <v>496</v>
      </c>
      <c r="E32" s="27">
        <f>'Code Home'!E32-'Energy Star Home'!E32</f>
        <v>137</v>
      </c>
      <c r="F32" s="27">
        <f>'Code Home'!F32-'Energy Star Home'!F32</f>
        <v>14</v>
      </c>
      <c r="G32" s="27">
        <f>'Code Home'!G32-'Energy Star Home'!G32</f>
        <v>0</v>
      </c>
      <c r="H32" s="27">
        <f>'Code Home'!H32-'Energy Star Home'!H32</f>
        <v>974</v>
      </c>
      <c r="I32" s="27">
        <f t="shared" si="4"/>
        <v>309</v>
      </c>
      <c r="J32" s="27">
        <f t="shared" si="5"/>
        <v>1607</v>
      </c>
      <c r="K32" s="27"/>
      <c r="L32" s="27"/>
      <c r="M32" s="27"/>
      <c r="N32" s="27"/>
      <c r="O32" s="27"/>
      <c r="P32" s="27"/>
      <c r="Q32" s="27"/>
      <c r="R32" s="27"/>
    </row>
    <row r="33" spans="1:18" ht="12.75">
      <c r="A33" s="27">
        <v>3159</v>
      </c>
      <c r="B33" s="27" t="s">
        <v>66</v>
      </c>
      <c r="C33" s="27">
        <f>'Code Home'!C33-'Energy Star Home'!C33</f>
        <v>296</v>
      </c>
      <c r="D33" s="27">
        <f>'Code Home'!D33-'Energy Star Home'!D33</f>
        <v>485</v>
      </c>
      <c r="E33" s="27">
        <f>'Code Home'!E33-'Energy Star Home'!E33</f>
        <v>122</v>
      </c>
      <c r="F33" s="27">
        <f>'Code Home'!F33-'Energy Star Home'!F33</f>
        <v>13</v>
      </c>
      <c r="G33" s="27">
        <f>'Code Home'!G33-'Energy Star Home'!G33</f>
        <v>0</v>
      </c>
      <c r="H33" s="27">
        <f>'Code Home'!H33-'Energy Star Home'!H33</f>
        <v>974</v>
      </c>
      <c r="I33" s="27">
        <f t="shared" si="4"/>
        <v>309</v>
      </c>
      <c r="J33" s="27">
        <f t="shared" si="5"/>
        <v>1581</v>
      </c>
      <c r="K33" s="27"/>
      <c r="L33" s="27"/>
      <c r="M33" s="27"/>
      <c r="N33" s="27"/>
      <c r="O33" s="27"/>
      <c r="P33" s="27"/>
      <c r="Q33" s="27"/>
      <c r="R33" s="27"/>
    </row>
    <row r="34" spans="1:18" ht="12.75">
      <c r="A34" s="27">
        <v>3159</v>
      </c>
      <c r="B34" s="27" t="s">
        <v>67</v>
      </c>
      <c r="C34" s="27">
        <f>'Code Home'!C34-'Energy Star Home'!C34</f>
        <v>292</v>
      </c>
      <c r="D34" s="27">
        <f>'Code Home'!D34-'Energy Star Home'!D34</f>
        <v>460</v>
      </c>
      <c r="E34" s="27">
        <f>'Code Home'!E34-'Energy Star Home'!E34</f>
        <v>201</v>
      </c>
      <c r="F34" s="27">
        <f>'Code Home'!F34-'Energy Star Home'!F34</f>
        <v>13</v>
      </c>
      <c r="G34" s="27">
        <f>'Code Home'!G34-'Energy Star Home'!G34</f>
        <v>0</v>
      </c>
      <c r="H34" s="27">
        <f>'Code Home'!H34-'Energy Star Home'!H34</f>
        <v>952</v>
      </c>
      <c r="I34" s="27">
        <f t="shared" si="4"/>
        <v>305</v>
      </c>
      <c r="J34" s="27">
        <f t="shared" si="5"/>
        <v>1613</v>
      </c>
      <c r="K34" s="27"/>
      <c r="L34" s="27"/>
      <c r="M34" s="27"/>
      <c r="N34" s="27"/>
      <c r="O34" s="27"/>
      <c r="P34" s="27"/>
      <c r="Q34" s="27"/>
      <c r="R34" s="27"/>
    </row>
    <row r="35" spans="1:18" ht="12.75">
      <c r="A35" s="27">
        <v>3159</v>
      </c>
      <c r="B35" s="27" t="s">
        <v>68</v>
      </c>
      <c r="C35" s="27">
        <f>'Code Home'!C35-'Energy Star Home'!C35</f>
        <v>327</v>
      </c>
      <c r="D35" s="27">
        <f>'Code Home'!D35-'Energy Star Home'!D35</f>
        <v>523</v>
      </c>
      <c r="E35" s="27">
        <f>'Code Home'!E35-'Energy Star Home'!E35</f>
        <v>128</v>
      </c>
      <c r="F35" s="27">
        <f>'Code Home'!F35-'Energy Star Home'!F35</f>
        <v>14</v>
      </c>
      <c r="G35" s="27">
        <f>'Code Home'!G35-'Energy Star Home'!G35</f>
        <v>0</v>
      </c>
      <c r="H35" s="27">
        <f>'Code Home'!H35-'Energy Star Home'!H35</f>
        <v>952</v>
      </c>
      <c r="I35" s="27">
        <f t="shared" si="4"/>
        <v>341</v>
      </c>
      <c r="J35" s="27">
        <f t="shared" si="5"/>
        <v>1603</v>
      </c>
      <c r="K35" s="27"/>
      <c r="L35" s="27"/>
      <c r="M35" s="27"/>
      <c r="N35" s="27"/>
      <c r="O35" s="27"/>
      <c r="P35" s="27"/>
      <c r="Q35" s="27"/>
      <c r="R35" s="27"/>
    </row>
    <row r="36" spans="1:18" ht="12.75">
      <c r="A36" s="27">
        <v>3159</v>
      </c>
      <c r="B36" s="27" t="s">
        <v>69</v>
      </c>
      <c r="C36" s="27">
        <f>'Code Home'!C36-'Energy Star Home'!C36</f>
        <v>364</v>
      </c>
      <c r="D36" s="27">
        <f>'Code Home'!D36-'Energy Star Home'!D36</f>
        <v>472</v>
      </c>
      <c r="E36" s="27">
        <f>'Code Home'!E36-'Energy Star Home'!E36</f>
        <v>88</v>
      </c>
      <c r="F36" s="27">
        <f>'Code Home'!F36-'Energy Star Home'!F36</f>
        <v>14</v>
      </c>
      <c r="G36" s="27">
        <f>'Code Home'!G36-'Energy Star Home'!G36</f>
        <v>0</v>
      </c>
      <c r="H36" s="27">
        <f>'Code Home'!H36-'Energy Star Home'!H36</f>
        <v>1302</v>
      </c>
      <c r="I36" s="27">
        <f t="shared" si="4"/>
        <v>378</v>
      </c>
      <c r="J36" s="27">
        <f t="shared" si="5"/>
        <v>1862</v>
      </c>
      <c r="K36" s="27"/>
      <c r="L36" s="27"/>
      <c r="M36" s="27"/>
      <c r="N36" s="27"/>
      <c r="O36" s="27"/>
      <c r="P36" s="27"/>
      <c r="Q36" s="27"/>
      <c r="R36" s="27"/>
    </row>
    <row r="37" spans="1:18" ht="12.75">
      <c r="A37" s="27">
        <v>3159</v>
      </c>
      <c r="B37" s="27" t="s">
        <v>70</v>
      </c>
      <c r="C37" s="27">
        <f>'Code Home'!C37-'Energy Star Home'!C37</f>
        <v>364</v>
      </c>
      <c r="D37" s="27">
        <f>'Code Home'!D37-'Energy Star Home'!D37</f>
        <v>492</v>
      </c>
      <c r="E37" s="27">
        <f>'Code Home'!E37-'Energy Star Home'!E37</f>
        <v>64</v>
      </c>
      <c r="F37" s="27">
        <f>'Code Home'!F37-'Energy Star Home'!F37</f>
        <v>14</v>
      </c>
      <c r="G37" s="27">
        <f>'Code Home'!G37-'Energy Star Home'!G37</f>
        <v>0</v>
      </c>
      <c r="H37" s="27">
        <f>'Code Home'!H37-'Energy Star Home'!H37</f>
        <v>1302</v>
      </c>
      <c r="I37" s="27">
        <f t="shared" si="4"/>
        <v>378</v>
      </c>
      <c r="J37" s="27">
        <f t="shared" si="5"/>
        <v>1858</v>
      </c>
      <c r="K37" s="27"/>
      <c r="L37" s="27"/>
      <c r="M37" s="27"/>
      <c r="N37" s="27"/>
      <c r="O37" s="27"/>
      <c r="P37" s="27"/>
      <c r="Q37" s="27"/>
      <c r="R37" s="27"/>
    </row>
    <row r="38" spans="1:18" ht="12.75">
      <c r="A38" s="27">
        <v>3159</v>
      </c>
      <c r="B38" s="27" t="s">
        <v>71</v>
      </c>
      <c r="C38" s="27">
        <f>'Code Home'!C38-'Energy Star Home'!C38</f>
        <v>319</v>
      </c>
      <c r="D38" s="27">
        <f>'Code Home'!D38-'Energy Star Home'!D38</f>
        <v>424</v>
      </c>
      <c r="E38" s="27">
        <f>'Code Home'!E38-'Energy Star Home'!E38</f>
        <v>138</v>
      </c>
      <c r="F38" s="27">
        <f>'Code Home'!F38-'Energy Star Home'!F38</f>
        <v>14</v>
      </c>
      <c r="G38" s="27">
        <f>'Code Home'!G38-'Energy Star Home'!G38</f>
        <v>0</v>
      </c>
      <c r="H38" s="27">
        <f>'Code Home'!H38-'Energy Star Home'!H38</f>
        <v>1302</v>
      </c>
      <c r="I38" s="27">
        <f t="shared" si="4"/>
        <v>333</v>
      </c>
      <c r="J38" s="27">
        <f t="shared" si="5"/>
        <v>1864</v>
      </c>
      <c r="K38" s="27"/>
      <c r="L38" s="27"/>
      <c r="M38" s="27"/>
      <c r="N38" s="27"/>
      <c r="O38" s="27"/>
      <c r="P38" s="27"/>
      <c r="Q38" s="27"/>
      <c r="R38" s="27"/>
    </row>
    <row r="39" spans="1:18" ht="13.5" thickBot="1">
      <c r="A39" s="27"/>
      <c r="B39" s="27"/>
      <c r="C39" s="27"/>
      <c r="D39" s="27"/>
      <c r="E39" s="27"/>
      <c r="F39" s="27"/>
      <c r="G39" s="27"/>
      <c r="H39" s="27"/>
      <c r="I39" s="27"/>
      <c r="J39" s="27"/>
      <c r="K39" s="27"/>
      <c r="L39" s="27"/>
      <c r="M39" s="27"/>
      <c r="N39" s="27"/>
      <c r="O39" s="27"/>
      <c r="P39" s="27"/>
      <c r="Q39" s="27"/>
      <c r="R39" s="27"/>
    </row>
    <row r="40" spans="1:18" ht="12.75">
      <c r="A40" s="311" t="s">
        <v>142</v>
      </c>
      <c r="B40" s="292"/>
      <c r="C40" s="292"/>
      <c r="D40" s="292"/>
      <c r="E40" s="292"/>
      <c r="F40" s="292"/>
      <c r="G40" s="292"/>
      <c r="H40" s="292"/>
      <c r="I40" s="292"/>
      <c r="J40" s="293"/>
      <c r="K40" s="23"/>
      <c r="L40" s="23"/>
      <c r="M40" s="23"/>
      <c r="N40" s="23"/>
      <c r="O40" s="23"/>
      <c r="P40" s="23"/>
      <c r="Q40" s="23"/>
      <c r="R40" s="23"/>
    </row>
    <row r="41" spans="1:18" ht="39" thickBot="1">
      <c r="A41" s="54" t="s">
        <v>85</v>
      </c>
      <c r="B41" s="55"/>
      <c r="C41" s="76" t="s">
        <v>117</v>
      </c>
      <c r="D41" s="76" t="s">
        <v>118</v>
      </c>
      <c r="E41" s="76" t="s">
        <v>134</v>
      </c>
      <c r="F41" s="76" t="s">
        <v>121</v>
      </c>
      <c r="G41" s="55"/>
      <c r="H41" s="76" t="s">
        <v>138</v>
      </c>
      <c r="I41" s="55"/>
      <c r="J41" s="77" t="s">
        <v>123</v>
      </c>
      <c r="K41" s="23"/>
      <c r="L41" s="23"/>
      <c r="M41" s="23"/>
      <c r="N41" s="23"/>
      <c r="O41" s="23"/>
      <c r="P41" s="23"/>
      <c r="Q41" s="23"/>
      <c r="R41" s="23"/>
    </row>
    <row r="42" spans="1:18" ht="12.75">
      <c r="A42" s="27">
        <v>1219</v>
      </c>
      <c r="B42" s="27" t="s">
        <v>6</v>
      </c>
      <c r="C42" s="27">
        <f>'Code Home'!C41-'Energy Star Home'!C41</f>
        <v>536</v>
      </c>
      <c r="D42" s="27">
        <f>'Code Home'!D41-'Energy Star Home'!D41</f>
        <v>90</v>
      </c>
      <c r="E42" s="27">
        <f>'Code Home'!E41-'Energy Star Home'!E41</f>
        <v>214</v>
      </c>
      <c r="F42" s="27">
        <f>'Code Home'!F41-'Energy Star Home'!F41</f>
        <v>459</v>
      </c>
      <c r="G42" s="27"/>
      <c r="H42" s="27">
        <f>'Code Home'!C41*0.11</f>
        <v>354.09</v>
      </c>
      <c r="I42" s="27"/>
      <c r="J42" s="27">
        <f aca="true" t="shared" si="6" ref="J42:J52">SUM(C42:H42)</f>
        <v>1653.09</v>
      </c>
      <c r="K42" s="23"/>
      <c r="L42" s="23"/>
      <c r="M42" s="23"/>
      <c r="N42" s="23"/>
      <c r="O42" s="23"/>
      <c r="P42" s="23"/>
      <c r="Q42" s="23"/>
      <c r="R42" s="23"/>
    </row>
    <row r="43" spans="1:18" ht="12.75">
      <c r="A43" s="27">
        <v>1219</v>
      </c>
      <c r="B43" s="27" t="s">
        <v>62</v>
      </c>
      <c r="C43" s="27">
        <f>'Code Home'!C42-'Energy Star Home'!C42</f>
        <v>543</v>
      </c>
      <c r="D43" s="27">
        <f>'Code Home'!D42-'Energy Star Home'!D42</f>
        <v>113</v>
      </c>
      <c r="E43" s="27">
        <f>'Code Home'!E42-'Energy Star Home'!E42</f>
        <v>214</v>
      </c>
      <c r="F43" s="27">
        <f>'Code Home'!F42-'Energy Star Home'!F42</f>
        <v>459</v>
      </c>
      <c r="G43" s="27"/>
      <c r="H43" s="27">
        <f>'Code Home'!C42*0.11</f>
        <v>404.03000000000003</v>
      </c>
      <c r="I43" s="27"/>
      <c r="J43" s="27">
        <f t="shared" si="6"/>
        <v>1733.03</v>
      </c>
      <c r="K43" s="23"/>
      <c r="L43" s="23"/>
      <c r="M43" s="23"/>
      <c r="N43" s="23"/>
      <c r="O43" s="23"/>
      <c r="P43" s="23"/>
      <c r="Q43" s="23"/>
      <c r="R43" s="23"/>
    </row>
    <row r="44" spans="1:18" ht="12.75">
      <c r="A44" s="27">
        <v>1219</v>
      </c>
      <c r="B44" s="27" t="s">
        <v>63</v>
      </c>
      <c r="C44" s="27">
        <f>'Code Home'!C43-'Energy Star Home'!C43</f>
        <v>758</v>
      </c>
      <c r="D44" s="27">
        <f>'Code Home'!D43-'Energy Star Home'!D43</f>
        <v>71</v>
      </c>
      <c r="E44" s="27">
        <f>'Code Home'!E43-'Energy Star Home'!E43</f>
        <v>229</v>
      </c>
      <c r="F44" s="27">
        <f>'Code Home'!F43-'Energy Star Home'!F43</f>
        <v>459</v>
      </c>
      <c r="G44" s="27"/>
      <c r="H44" s="27">
        <f>'Code Home'!C43*0.11</f>
        <v>634.7</v>
      </c>
      <c r="I44" s="27"/>
      <c r="J44" s="27">
        <f t="shared" si="6"/>
        <v>2151.7</v>
      </c>
      <c r="K44" s="23"/>
      <c r="L44" s="23"/>
      <c r="M44" s="23"/>
      <c r="N44" s="23"/>
      <c r="O44" s="23"/>
      <c r="P44" s="23"/>
      <c r="Q44" s="23"/>
      <c r="R44" s="23"/>
    </row>
    <row r="45" spans="1:18" ht="12.75">
      <c r="A45" s="27">
        <v>1219</v>
      </c>
      <c r="B45" s="27" t="s">
        <v>64</v>
      </c>
      <c r="C45" s="27">
        <f>'Code Home'!C44-'Energy Star Home'!C44</f>
        <v>508</v>
      </c>
      <c r="D45" s="27">
        <f>'Code Home'!D44-'Energy Star Home'!D44</f>
        <v>86</v>
      </c>
      <c r="E45" s="27">
        <f>'Code Home'!E44-'Energy Star Home'!E44</f>
        <v>216</v>
      </c>
      <c r="F45" s="27">
        <f>'Code Home'!F44-'Energy Star Home'!F44</f>
        <v>470</v>
      </c>
      <c r="G45" s="27"/>
      <c r="H45" s="27">
        <f>'Code Home'!C44*0.11</f>
        <v>342.43</v>
      </c>
      <c r="I45" s="27"/>
      <c r="J45" s="27">
        <f t="shared" si="6"/>
        <v>1622.43</v>
      </c>
      <c r="K45" s="23"/>
      <c r="L45" s="23"/>
      <c r="M45" s="23"/>
      <c r="N45" s="23"/>
      <c r="O45" s="23"/>
      <c r="P45" s="23"/>
      <c r="Q45" s="23"/>
      <c r="R45" s="23"/>
    </row>
    <row r="46" spans="1:18" ht="12.75">
      <c r="A46" s="27">
        <v>1219</v>
      </c>
      <c r="B46" s="27" t="s">
        <v>65</v>
      </c>
      <c r="C46" s="27">
        <f>'Code Home'!C45-'Energy Star Home'!C45</f>
        <v>822</v>
      </c>
      <c r="D46" s="27">
        <f>'Code Home'!D45-'Energy Star Home'!D45</f>
        <v>122</v>
      </c>
      <c r="E46" s="27">
        <f>'Code Home'!E45-'Energy Star Home'!E45</f>
        <v>235</v>
      </c>
      <c r="F46" s="27">
        <f>'Code Home'!F45-'Energy Star Home'!F45</f>
        <v>470</v>
      </c>
      <c r="G46" s="27"/>
      <c r="H46" s="27">
        <f>'Code Home'!C45*0.11</f>
        <v>732.49</v>
      </c>
      <c r="I46" s="27"/>
      <c r="J46" s="27">
        <f t="shared" si="6"/>
        <v>2381.49</v>
      </c>
      <c r="K46" s="23"/>
      <c r="L46" s="23"/>
      <c r="M46" s="23"/>
      <c r="N46" s="23"/>
      <c r="O46" s="23"/>
      <c r="P46" s="23"/>
      <c r="Q46" s="23"/>
      <c r="R46" s="23"/>
    </row>
    <row r="47" spans="1:18" ht="12.75">
      <c r="A47" s="27">
        <v>1219</v>
      </c>
      <c r="B47" s="27" t="s">
        <v>66</v>
      </c>
      <c r="C47" s="27">
        <f>'Code Home'!C46-'Energy Star Home'!C46</f>
        <v>913</v>
      </c>
      <c r="D47" s="27">
        <f>'Code Home'!D46-'Energy Star Home'!D46</f>
        <v>103</v>
      </c>
      <c r="E47" s="27">
        <f>'Code Home'!E46-'Energy Star Home'!E46</f>
        <v>227</v>
      </c>
      <c r="F47" s="27">
        <f>'Code Home'!F46-'Energy Star Home'!F46</f>
        <v>470</v>
      </c>
      <c r="G47" s="27"/>
      <c r="H47" s="27">
        <f>'Code Home'!C46*0.11</f>
        <v>613.8</v>
      </c>
      <c r="I47" s="27"/>
      <c r="J47" s="27">
        <f t="shared" si="6"/>
        <v>2326.8</v>
      </c>
      <c r="K47" s="23"/>
      <c r="L47" s="23"/>
      <c r="M47" s="23"/>
      <c r="N47" s="23"/>
      <c r="O47" s="23"/>
      <c r="P47" s="23"/>
      <c r="Q47" s="23"/>
      <c r="R47" s="23"/>
    </row>
    <row r="48" spans="1:18" ht="12.75">
      <c r="A48" s="27">
        <v>1219</v>
      </c>
      <c r="B48" s="27" t="s">
        <v>67</v>
      </c>
      <c r="C48" s="27">
        <f>'Code Home'!C47-'Energy Star Home'!C47</f>
        <v>1274</v>
      </c>
      <c r="D48" s="27">
        <f>'Code Home'!D47-'Energy Star Home'!D47</f>
        <v>117</v>
      </c>
      <c r="E48" s="27">
        <f>'Code Home'!E47-'Energy Star Home'!E47</f>
        <v>222</v>
      </c>
      <c r="F48" s="27">
        <f>'Code Home'!F47-'Energy Star Home'!F47</f>
        <v>469</v>
      </c>
      <c r="G48" s="27"/>
      <c r="H48" s="27">
        <f>'Code Home'!C47*0.11</f>
        <v>642.29</v>
      </c>
      <c r="I48" s="27"/>
      <c r="J48" s="27">
        <f t="shared" si="6"/>
        <v>2724.29</v>
      </c>
      <c r="K48" s="23"/>
      <c r="L48" s="23"/>
      <c r="M48" s="23"/>
      <c r="N48" s="23"/>
      <c r="O48" s="23"/>
      <c r="P48" s="23"/>
      <c r="Q48" s="23"/>
      <c r="R48" s="23"/>
    </row>
    <row r="49" spans="1:18" ht="12.75">
      <c r="A49" s="27">
        <v>1219</v>
      </c>
      <c r="B49" s="27" t="s">
        <v>68</v>
      </c>
      <c r="C49" s="27">
        <f>'Code Home'!C48-'Energy Star Home'!C48</f>
        <v>1415</v>
      </c>
      <c r="D49" s="27">
        <f>'Code Home'!D48-'Energy Star Home'!D48</f>
        <v>129</v>
      </c>
      <c r="E49" s="27">
        <f>'Code Home'!E48-'Energy Star Home'!E48</f>
        <v>237</v>
      </c>
      <c r="F49" s="27">
        <f>'Code Home'!F48-'Energy Star Home'!F48</f>
        <v>469</v>
      </c>
      <c r="G49" s="27"/>
      <c r="H49" s="27">
        <f>'Code Home'!C48*0.11</f>
        <v>865.04</v>
      </c>
      <c r="I49" s="27"/>
      <c r="J49" s="27">
        <f t="shared" si="6"/>
        <v>3115.04</v>
      </c>
      <c r="K49" s="23"/>
      <c r="L49" s="23"/>
      <c r="M49" s="23"/>
      <c r="N49" s="23"/>
      <c r="O49" s="23"/>
      <c r="P49" s="23"/>
      <c r="Q49" s="23"/>
      <c r="R49" s="23"/>
    </row>
    <row r="50" spans="1:18" ht="12.75">
      <c r="A50" s="27">
        <v>1219</v>
      </c>
      <c r="B50" s="27" t="s">
        <v>69</v>
      </c>
      <c r="C50" s="27">
        <f>'Code Home'!C49-'Energy Star Home'!C49</f>
        <v>1477</v>
      </c>
      <c r="D50" s="27">
        <f>'Code Home'!D49-'Energy Star Home'!D49</f>
        <v>106</v>
      </c>
      <c r="E50" s="27">
        <f>'Code Home'!E49-'Energy Star Home'!E49</f>
        <v>245</v>
      </c>
      <c r="F50" s="27">
        <f>'Code Home'!F49-'Energy Star Home'!F49</f>
        <v>469</v>
      </c>
      <c r="G50" s="27"/>
      <c r="H50" s="27">
        <f>'Code Home'!C49*0.11</f>
        <v>1084.71</v>
      </c>
      <c r="I50" s="27"/>
      <c r="J50" s="27">
        <f t="shared" si="6"/>
        <v>3381.71</v>
      </c>
      <c r="K50" s="23"/>
      <c r="L50" s="23"/>
      <c r="M50" s="23"/>
      <c r="N50" s="23"/>
      <c r="O50" s="23"/>
      <c r="P50" s="23"/>
      <c r="Q50" s="23"/>
      <c r="R50" s="23"/>
    </row>
    <row r="51" spans="1:18" ht="12.75">
      <c r="A51" s="27">
        <v>1219</v>
      </c>
      <c r="B51" s="27" t="s">
        <v>70</v>
      </c>
      <c r="C51" s="27">
        <f>'Code Home'!C50-'Energy Star Home'!C50</f>
        <v>1516</v>
      </c>
      <c r="D51" s="27">
        <f>'Code Home'!D50-'Energy Star Home'!D50</f>
        <v>89</v>
      </c>
      <c r="E51" s="27">
        <f>'Code Home'!E50-'Energy Star Home'!E50</f>
        <v>243</v>
      </c>
      <c r="F51" s="27">
        <f>'Code Home'!F50-'Energy Star Home'!F50</f>
        <v>469</v>
      </c>
      <c r="G51" s="27"/>
      <c r="H51" s="27">
        <f>'Code Home'!C50*0.11</f>
        <v>961.73</v>
      </c>
      <c r="I51" s="27"/>
      <c r="J51" s="27">
        <f t="shared" si="6"/>
        <v>3278.73</v>
      </c>
      <c r="K51" s="23"/>
      <c r="L51" s="23"/>
      <c r="M51" s="23"/>
      <c r="N51" s="23"/>
      <c r="O51" s="23"/>
      <c r="P51" s="23"/>
      <c r="Q51" s="23"/>
      <c r="R51" s="23"/>
    </row>
    <row r="52" spans="1:18" ht="12.75">
      <c r="A52" s="27">
        <v>1219</v>
      </c>
      <c r="B52" s="27" t="s">
        <v>71</v>
      </c>
      <c r="C52" s="27">
        <f>'Code Home'!C51-'Energy Star Home'!C51</f>
        <v>1277</v>
      </c>
      <c r="D52" s="27">
        <f>'Code Home'!D51-'Energy Star Home'!D51</f>
        <v>139</v>
      </c>
      <c r="E52" s="27">
        <f>'Code Home'!E51-'Energy Star Home'!E51</f>
        <v>235</v>
      </c>
      <c r="F52" s="27">
        <f>'Code Home'!F51-'Energy Star Home'!F51</f>
        <v>469</v>
      </c>
      <c r="G52" s="27"/>
      <c r="H52" s="27">
        <f>'Code Home'!C51*0.11</f>
        <v>921.58</v>
      </c>
      <c r="I52" s="27"/>
      <c r="J52" s="27">
        <f t="shared" si="6"/>
        <v>3041.58</v>
      </c>
      <c r="K52" s="23"/>
      <c r="L52" s="23"/>
      <c r="M52" s="23"/>
      <c r="N52" s="23"/>
      <c r="O52" s="23"/>
      <c r="P52" s="23"/>
      <c r="Q52" s="23"/>
      <c r="R52" s="23"/>
    </row>
    <row r="53" spans="1:18" ht="12.75">
      <c r="A53" s="27"/>
      <c r="B53" s="27"/>
      <c r="C53" s="27"/>
      <c r="D53" s="27"/>
      <c r="E53" s="27"/>
      <c r="F53" s="27"/>
      <c r="G53" s="27"/>
      <c r="H53" s="27"/>
      <c r="I53" s="27"/>
      <c r="J53" s="27"/>
      <c r="K53" s="23"/>
      <c r="L53" s="23"/>
      <c r="M53" s="23"/>
      <c r="N53" s="23"/>
      <c r="O53" s="23"/>
      <c r="P53" s="23"/>
      <c r="Q53" s="23"/>
      <c r="R53" s="23"/>
    </row>
    <row r="54" spans="1:18" ht="12.75">
      <c r="A54" s="27">
        <v>2719</v>
      </c>
      <c r="B54" s="27" t="s">
        <v>6</v>
      </c>
      <c r="C54" s="27">
        <f>'Code Home'!C53-'Energy Star Home'!C53</f>
        <v>1833</v>
      </c>
      <c r="D54" s="27">
        <f>'Code Home'!D53-'Energy Star Home'!D53</f>
        <v>132</v>
      </c>
      <c r="E54" s="27">
        <f>'Code Home'!E53-'Energy Star Home'!E53</f>
        <v>217</v>
      </c>
      <c r="F54" s="27">
        <f>'Code Home'!F53-'Energy Star Home'!F53</f>
        <v>773</v>
      </c>
      <c r="G54" s="27"/>
      <c r="H54" s="27">
        <f>'Code Home'!C53*0.11</f>
        <v>768.68</v>
      </c>
      <c r="I54" s="27"/>
      <c r="J54" s="27">
        <f aca="true" t="shared" si="7" ref="J54:J64">SUM(C54:H54)</f>
        <v>3723.68</v>
      </c>
      <c r="K54" s="23"/>
      <c r="L54" s="23"/>
      <c r="M54" s="23"/>
      <c r="N54" s="23"/>
      <c r="O54" s="23"/>
      <c r="P54" s="23"/>
      <c r="Q54" s="23"/>
      <c r="R54" s="23"/>
    </row>
    <row r="55" spans="1:18" ht="12.75">
      <c r="A55" s="27">
        <v>2719</v>
      </c>
      <c r="B55" s="27" t="s">
        <v>62</v>
      </c>
      <c r="C55" s="27">
        <f>'Code Home'!C54-'Energy Star Home'!C54</f>
        <v>1840</v>
      </c>
      <c r="D55" s="27">
        <f>'Code Home'!D54-'Energy Star Home'!D54</f>
        <v>156</v>
      </c>
      <c r="E55" s="27">
        <f>'Code Home'!E54-'Energy Star Home'!E54</f>
        <v>215</v>
      </c>
      <c r="F55" s="27">
        <f>'Code Home'!F54-'Energy Star Home'!F54</f>
        <v>773</v>
      </c>
      <c r="G55" s="27"/>
      <c r="H55" s="27">
        <f>'Code Home'!C54*0.11</f>
        <v>838.2</v>
      </c>
      <c r="I55" s="27"/>
      <c r="J55" s="27">
        <f t="shared" si="7"/>
        <v>3822.2</v>
      </c>
      <c r="K55" s="23"/>
      <c r="L55" s="23"/>
      <c r="M55" s="23"/>
      <c r="N55" s="23"/>
      <c r="O55" s="23"/>
      <c r="P55" s="23"/>
      <c r="Q55" s="23"/>
      <c r="R55" s="23"/>
    </row>
    <row r="56" spans="1:18" ht="12.75">
      <c r="A56" s="27">
        <v>2719</v>
      </c>
      <c r="B56" s="27" t="s">
        <v>63</v>
      </c>
      <c r="C56" s="27">
        <f>'Code Home'!C55-'Energy Star Home'!C55</f>
        <v>2903</v>
      </c>
      <c r="D56" s="27">
        <f>'Code Home'!D55-'Energy Star Home'!D55</f>
        <v>104</v>
      </c>
      <c r="E56" s="27">
        <f>'Code Home'!E55-'Energy Star Home'!E55</f>
        <v>231</v>
      </c>
      <c r="F56" s="27">
        <f>'Code Home'!F55-'Energy Star Home'!F55</f>
        <v>773</v>
      </c>
      <c r="G56" s="27"/>
      <c r="H56" s="27">
        <f>'Code Home'!C55*0.11</f>
        <v>1343.1</v>
      </c>
      <c r="I56" s="27"/>
      <c r="J56" s="27">
        <f t="shared" si="7"/>
        <v>5354.1</v>
      </c>
      <c r="K56" s="23"/>
      <c r="L56" s="23"/>
      <c r="M56" s="23"/>
      <c r="N56" s="23"/>
      <c r="O56" s="23"/>
      <c r="P56" s="23"/>
      <c r="Q56" s="23"/>
      <c r="R56" s="23"/>
    </row>
    <row r="57" spans="1:18" ht="12.75">
      <c r="A57" s="27">
        <v>2719</v>
      </c>
      <c r="B57" s="27" t="s">
        <v>64</v>
      </c>
      <c r="C57" s="27">
        <f>'Code Home'!C56-'Energy Star Home'!C56</f>
        <v>1304</v>
      </c>
      <c r="D57" s="27">
        <f>'Code Home'!D56-'Energy Star Home'!D56</f>
        <v>139</v>
      </c>
      <c r="E57" s="27">
        <f>'Code Home'!E56-'Energy Star Home'!E56</f>
        <v>219</v>
      </c>
      <c r="F57" s="27">
        <f>'Code Home'!F56-'Energy Star Home'!F56</f>
        <v>861</v>
      </c>
      <c r="G57" s="27"/>
      <c r="H57" s="27">
        <f>'Code Home'!C56*0.11</f>
        <v>737.33</v>
      </c>
      <c r="I57" s="27"/>
      <c r="J57" s="27">
        <f t="shared" si="7"/>
        <v>3260.33</v>
      </c>
      <c r="K57" s="23"/>
      <c r="L57" s="23"/>
      <c r="M57" s="23"/>
      <c r="N57" s="23"/>
      <c r="O57" s="23"/>
      <c r="P57" s="23"/>
      <c r="Q57" s="23"/>
      <c r="R57" s="23"/>
    </row>
    <row r="58" spans="1:18" ht="12.75">
      <c r="A58" s="27">
        <v>2719</v>
      </c>
      <c r="B58" s="27" t="s">
        <v>65</v>
      </c>
      <c r="C58" s="27">
        <f>'Code Home'!C57-'Energy Star Home'!C57</f>
        <v>2049</v>
      </c>
      <c r="D58" s="27">
        <f>'Code Home'!D57-'Energy Star Home'!D57</f>
        <v>204</v>
      </c>
      <c r="E58" s="27">
        <f>'Code Home'!E57-'Energy Star Home'!E57</f>
        <v>238</v>
      </c>
      <c r="F58" s="27">
        <f>'Code Home'!F57-'Energy Star Home'!F57</f>
        <v>861</v>
      </c>
      <c r="G58" s="27"/>
      <c r="H58" s="27">
        <f>'Code Home'!C57*0.11</f>
        <v>1541.1</v>
      </c>
      <c r="I58" s="27"/>
      <c r="J58" s="27">
        <f t="shared" si="7"/>
        <v>4893.1</v>
      </c>
      <c r="K58" s="23"/>
      <c r="L58" s="23"/>
      <c r="M58" s="23"/>
      <c r="N58" s="23"/>
      <c r="O58" s="23"/>
      <c r="P58" s="23"/>
      <c r="Q58" s="23"/>
      <c r="R58" s="23"/>
    </row>
    <row r="59" spans="1:18" ht="12.75">
      <c r="A59" s="27">
        <v>2719</v>
      </c>
      <c r="B59" s="27" t="s">
        <v>66</v>
      </c>
      <c r="C59" s="27">
        <f>'Code Home'!C58-'Energy Star Home'!C58</f>
        <v>2237</v>
      </c>
      <c r="D59" s="27">
        <f>'Code Home'!D58-'Energy Star Home'!D58</f>
        <v>170</v>
      </c>
      <c r="E59" s="27">
        <f>'Code Home'!E58-'Energy Star Home'!E58</f>
        <v>230</v>
      </c>
      <c r="F59" s="27">
        <f>'Code Home'!F58-'Energy Star Home'!F58</f>
        <v>861</v>
      </c>
      <c r="G59" s="27"/>
      <c r="H59" s="27">
        <f>'Code Home'!C58*0.11</f>
        <v>1292.61</v>
      </c>
      <c r="I59" s="27"/>
      <c r="J59" s="27">
        <f t="shared" si="7"/>
        <v>4790.61</v>
      </c>
      <c r="K59" s="23"/>
      <c r="L59" s="23"/>
      <c r="M59" s="23"/>
      <c r="N59" s="23"/>
      <c r="O59" s="23"/>
      <c r="P59" s="23"/>
      <c r="Q59" s="23"/>
      <c r="R59" s="23"/>
    </row>
    <row r="60" spans="1:18" ht="12.75">
      <c r="A60" s="27">
        <v>2719</v>
      </c>
      <c r="B60" s="27" t="s">
        <v>67</v>
      </c>
      <c r="C60" s="27">
        <f>'Code Home'!C59-'Energy Star Home'!C59</f>
        <v>2670</v>
      </c>
      <c r="D60" s="27">
        <f>'Code Home'!D59-'Energy Star Home'!D59</f>
        <v>205</v>
      </c>
      <c r="E60" s="27">
        <f>'Code Home'!E59-'Energy Star Home'!E59</f>
        <v>225</v>
      </c>
      <c r="F60" s="27">
        <f>'Code Home'!F59-'Energy Star Home'!F59</f>
        <v>839</v>
      </c>
      <c r="G60" s="27"/>
      <c r="H60" s="27">
        <f>'Code Home'!C59*0.11</f>
        <v>1318.13</v>
      </c>
      <c r="I60" s="27"/>
      <c r="J60" s="27">
        <f t="shared" si="7"/>
        <v>5257.13</v>
      </c>
      <c r="K60" s="23"/>
      <c r="L60" s="23"/>
      <c r="M60" s="23"/>
      <c r="N60" s="23"/>
      <c r="O60" s="23"/>
      <c r="P60" s="23"/>
      <c r="Q60" s="23"/>
      <c r="R60" s="23"/>
    </row>
    <row r="61" spans="1:18" ht="12.75">
      <c r="A61" s="27">
        <v>2719</v>
      </c>
      <c r="B61" s="27" t="s">
        <v>68</v>
      </c>
      <c r="C61" s="27">
        <f>'Code Home'!C60-'Energy Star Home'!C60</f>
        <v>3182</v>
      </c>
      <c r="D61" s="27">
        <f>'Code Home'!D60-'Energy Star Home'!D60</f>
        <v>138</v>
      </c>
      <c r="E61" s="27">
        <f>'Code Home'!E60-'Energy Star Home'!E60</f>
        <v>240</v>
      </c>
      <c r="F61" s="27">
        <f>'Code Home'!F60-'Energy Star Home'!F60</f>
        <v>839</v>
      </c>
      <c r="G61" s="27"/>
      <c r="H61" s="27">
        <f>'Code Home'!C60*0.11</f>
        <v>1795.53</v>
      </c>
      <c r="I61" s="27"/>
      <c r="J61" s="27">
        <f t="shared" si="7"/>
        <v>6194.53</v>
      </c>
      <c r="K61" s="23"/>
      <c r="L61" s="23"/>
      <c r="M61" s="23"/>
      <c r="N61" s="23"/>
      <c r="O61" s="23"/>
      <c r="P61" s="23"/>
      <c r="Q61" s="23"/>
      <c r="R61" s="23"/>
    </row>
    <row r="62" spans="1:18" ht="12.75">
      <c r="A62" s="27">
        <v>2719</v>
      </c>
      <c r="B62" s="27" t="s">
        <v>69</v>
      </c>
      <c r="C62" s="27">
        <f>'Code Home'!C61-'Energy Star Home'!C61</f>
        <v>2721</v>
      </c>
      <c r="D62" s="27">
        <f>'Code Home'!D61-'Energy Star Home'!D61</f>
        <v>143</v>
      </c>
      <c r="E62" s="27">
        <f>'Code Home'!E61-'Energy Star Home'!E61</f>
        <v>248</v>
      </c>
      <c r="F62" s="27">
        <f>'Code Home'!F61-'Energy Star Home'!F61</f>
        <v>1206</v>
      </c>
      <c r="G62" s="27"/>
      <c r="H62" s="27">
        <f>'Code Home'!C61*0.11</f>
        <v>2582.25</v>
      </c>
      <c r="I62" s="27"/>
      <c r="J62" s="27">
        <f t="shared" si="7"/>
        <v>6900.25</v>
      </c>
      <c r="K62" s="23"/>
      <c r="L62" s="23"/>
      <c r="M62" s="23"/>
      <c r="N62" s="23"/>
      <c r="O62" s="23"/>
      <c r="P62" s="23"/>
      <c r="Q62" s="23"/>
      <c r="R62" s="23"/>
    </row>
    <row r="63" spans="1:18" ht="12.75">
      <c r="A63" s="27">
        <v>2719</v>
      </c>
      <c r="B63" s="27" t="s">
        <v>70</v>
      </c>
      <c r="C63" s="27">
        <f>'Code Home'!C62-'Energy Star Home'!C62</f>
        <v>2685</v>
      </c>
      <c r="D63" s="27">
        <f>'Code Home'!D62-'Energy Star Home'!D62</f>
        <v>118</v>
      </c>
      <c r="E63" s="27">
        <f>'Code Home'!E62-'Energy Star Home'!E62</f>
        <v>230</v>
      </c>
      <c r="F63" s="27">
        <f>'Code Home'!F62-'Energy Star Home'!F62</f>
        <v>1206</v>
      </c>
      <c r="G63" s="27"/>
      <c r="H63" s="27">
        <f>'Code Home'!C62*0.11</f>
        <v>2281.95</v>
      </c>
      <c r="I63" s="27"/>
      <c r="J63" s="27">
        <f t="shared" si="7"/>
        <v>6520.95</v>
      </c>
      <c r="K63" s="23"/>
      <c r="L63" s="23"/>
      <c r="M63" s="23"/>
      <c r="N63" s="23"/>
      <c r="O63" s="23"/>
      <c r="P63" s="23"/>
      <c r="Q63" s="23"/>
      <c r="R63" s="23"/>
    </row>
    <row r="64" spans="1:18" ht="12.75">
      <c r="A64" s="27">
        <v>2719</v>
      </c>
      <c r="B64" s="27" t="s">
        <v>71</v>
      </c>
      <c r="C64" s="27">
        <f>'Code Home'!C63-'Energy Star Home'!C63</f>
        <v>2385</v>
      </c>
      <c r="D64" s="27">
        <f>'Code Home'!D63-'Energy Star Home'!D63</f>
        <v>170</v>
      </c>
      <c r="E64" s="27">
        <f>'Code Home'!E63-'Energy Star Home'!E63</f>
        <v>222</v>
      </c>
      <c r="F64" s="27">
        <f>'Code Home'!F63-'Energy Star Home'!F63</f>
        <v>1206</v>
      </c>
      <c r="G64" s="27"/>
      <c r="H64" s="27">
        <f>'Code Home'!C63*0.11</f>
        <v>2192.85</v>
      </c>
      <c r="I64" s="27"/>
      <c r="J64" s="27">
        <f t="shared" si="7"/>
        <v>6175.85</v>
      </c>
      <c r="K64" s="23"/>
      <c r="L64" s="23"/>
      <c r="M64" s="23"/>
      <c r="N64" s="23"/>
      <c r="O64" s="23"/>
      <c r="P64" s="23"/>
      <c r="Q64" s="23"/>
      <c r="R64" s="23"/>
    </row>
    <row r="65" spans="1:18" ht="12.75">
      <c r="A65" s="27"/>
      <c r="B65" s="27"/>
      <c r="C65" s="27"/>
      <c r="D65" s="27"/>
      <c r="E65" s="27"/>
      <c r="F65" s="27"/>
      <c r="G65" s="27"/>
      <c r="H65" s="27"/>
      <c r="I65" s="27"/>
      <c r="J65" s="27"/>
      <c r="K65" s="23"/>
      <c r="L65" s="23"/>
      <c r="M65" s="23"/>
      <c r="N65" s="23"/>
      <c r="O65" s="23"/>
      <c r="P65" s="23"/>
      <c r="Q65" s="23"/>
      <c r="R65" s="23"/>
    </row>
    <row r="66" spans="1:18" ht="12.75">
      <c r="A66" s="27">
        <v>3159</v>
      </c>
      <c r="B66" s="27" t="s">
        <v>6</v>
      </c>
      <c r="C66" s="27">
        <f>'Code Home'!C65-'Energy Star Home'!C65</f>
        <v>1857</v>
      </c>
      <c r="D66" s="27">
        <f>'Code Home'!D65-'Energy Star Home'!D65</f>
        <v>178</v>
      </c>
      <c r="E66" s="27">
        <f>'Code Home'!E65-'Energy Star Home'!E65</f>
        <v>217</v>
      </c>
      <c r="F66" s="27">
        <f>'Code Home'!F65-'Energy Star Home'!F65</f>
        <v>952</v>
      </c>
      <c r="G66" s="27"/>
      <c r="H66" s="27">
        <f>'Code Home'!C65*0.11</f>
        <v>978.34</v>
      </c>
      <c r="I66" s="27"/>
      <c r="J66" s="27">
        <f aca="true" t="shared" si="8" ref="J66:J76">SUM(C66:H66)</f>
        <v>4182.34</v>
      </c>
      <c r="K66" s="23"/>
      <c r="L66" s="23"/>
      <c r="M66" s="23"/>
      <c r="N66" s="23"/>
      <c r="O66" s="23"/>
      <c r="P66" s="23"/>
      <c r="Q66" s="23"/>
      <c r="R66" s="23"/>
    </row>
    <row r="67" spans="1:18" ht="12.75">
      <c r="A67" s="27">
        <v>3159</v>
      </c>
      <c r="B67" s="27" t="s">
        <v>62</v>
      </c>
      <c r="C67" s="27">
        <f>'Code Home'!C66-'Energy Star Home'!C66</f>
        <v>1780</v>
      </c>
      <c r="D67" s="27">
        <f>'Code Home'!D66-'Energy Star Home'!D66</f>
        <v>180</v>
      </c>
      <c r="E67" s="27">
        <f>'Code Home'!E66-'Energy Star Home'!E66</f>
        <v>215</v>
      </c>
      <c r="F67" s="27">
        <f>'Code Home'!F66-'Energy Star Home'!F66</f>
        <v>952</v>
      </c>
      <c r="G67" s="27"/>
      <c r="H67" s="27">
        <f>'Code Home'!C66*0.11</f>
        <v>1072.17</v>
      </c>
      <c r="I67" s="27"/>
      <c r="J67" s="27">
        <f t="shared" si="8"/>
        <v>4199.17</v>
      </c>
      <c r="K67" s="23"/>
      <c r="L67" s="23"/>
      <c r="M67" s="23"/>
      <c r="N67" s="23"/>
      <c r="O67" s="23"/>
      <c r="P67" s="23"/>
      <c r="Q67" s="23"/>
      <c r="R67" s="23"/>
    </row>
    <row r="68" spans="1:18" ht="12.75">
      <c r="A68" s="27">
        <v>3159</v>
      </c>
      <c r="B68" s="27" t="s">
        <v>63</v>
      </c>
      <c r="C68" s="27">
        <f>'Code Home'!C67-'Energy Star Home'!C67</f>
        <v>3008</v>
      </c>
      <c r="D68" s="27">
        <f>'Code Home'!D67-'Energy Star Home'!D67</f>
        <v>143</v>
      </c>
      <c r="E68" s="27">
        <f>'Code Home'!E67-'Energy Star Home'!E67</f>
        <v>231</v>
      </c>
      <c r="F68" s="27">
        <f>'Code Home'!F67-'Energy Star Home'!F67</f>
        <v>952</v>
      </c>
      <c r="G68" s="27"/>
      <c r="H68" s="27">
        <f>'Code Home'!C67*0.11</f>
        <v>1705.55</v>
      </c>
      <c r="I68" s="27"/>
      <c r="J68" s="27">
        <f t="shared" si="8"/>
        <v>6039.55</v>
      </c>
      <c r="K68" s="23"/>
      <c r="L68" s="23"/>
      <c r="M68" s="23"/>
      <c r="N68" s="23"/>
      <c r="O68" s="23"/>
      <c r="P68" s="23"/>
      <c r="Q68" s="23"/>
      <c r="R68" s="23"/>
    </row>
    <row r="69" spans="1:18" ht="12.75">
      <c r="A69" s="27">
        <v>3159</v>
      </c>
      <c r="B69" s="27" t="s">
        <v>64</v>
      </c>
      <c r="C69" s="27">
        <f>'Code Home'!C68-'Energy Star Home'!C68</f>
        <v>1792</v>
      </c>
      <c r="D69" s="27">
        <f>'Code Home'!D68-'Energy Star Home'!D68</f>
        <v>149</v>
      </c>
      <c r="E69" s="27">
        <f>'Code Home'!E68-'Energy Star Home'!E68</f>
        <v>219</v>
      </c>
      <c r="F69" s="27">
        <f>'Code Home'!F68-'Energy Star Home'!F68</f>
        <v>1040</v>
      </c>
      <c r="G69" s="27"/>
      <c r="H69" s="27">
        <f>'Code Home'!C68*0.11</f>
        <v>948.97</v>
      </c>
      <c r="I69" s="27"/>
      <c r="J69" s="27">
        <f t="shared" si="8"/>
        <v>4148.97</v>
      </c>
      <c r="K69" s="23"/>
      <c r="L69" s="23"/>
      <c r="M69" s="23"/>
      <c r="N69" s="23"/>
      <c r="O69" s="23"/>
      <c r="P69" s="23"/>
      <c r="Q69" s="23"/>
      <c r="R69" s="23"/>
    </row>
    <row r="70" spans="1:18" ht="12.75">
      <c r="A70" s="27">
        <v>3159</v>
      </c>
      <c r="B70" s="27" t="s">
        <v>65</v>
      </c>
      <c r="C70" s="27">
        <f>'Code Home'!C69-'Energy Star Home'!C69</f>
        <v>2671</v>
      </c>
      <c r="D70" s="27">
        <f>'Code Home'!D69-'Energy Star Home'!D69</f>
        <v>218</v>
      </c>
      <c r="E70" s="27">
        <f>'Code Home'!E69-'Energy Star Home'!E69</f>
        <v>238</v>
      </c>
      <c r="F70" s="27">
        <f>'Code Home'!F69-'Energy Star Home'!F69</f>
        <v>1040</v>
      </c>
      <c r="G70" s="27"/>
      <c r="H70" s="27">
        <f>'Code Home'!C69*0.11</f>
        <v>1955.25</v>
      </c>
      <c r="I70" s="27"/>
      <c r="J70" s="27">
        <f t="shared" si="8"/>
        <v>6122.25</v>
      </c>
      <c r="K70" s="23"/>
      <c r="L70" s="23"/>
      <c r="M70" s="23"/>
      <c r="N70" s="23"/>
      <c r="O70" s="23"/>
      <c r="P70" s="23"/>
      <c r="Q70" s="23"/>
      <c r="R70" s="23"/>
    </row>
    <row r="71" spans="1:18" ht="12.75">
      <c r="A71" s="27">
        <v>3159</v>
      </c>
      <c r="B71" s="27" t="s">
        <v>66</v>
      </c>
      <c r="C71" s="27">
        <f>'Code Home'!C70-'Energy Star Home'!C70</f>
        <v>2882</v>
      </c>
      <c r="D71" s="27">
        <f>'Code Home'!D70-'Energy Star Home'!D70</f>
        <v>199</v>
      </c>
      <c r="E71" s="27">
        <f>'Code Home'!E70-'Energy Star Home'!E70</f>
        <v>230</v>
      </c>
      <c r="F71" s="27">
        <f>'Code Home'!F70-'Energy Star Home'!F70</f>
        <v>1040</v>
      </c>
      <c r="G71" s="27"/>
      <c r="H71" s="27">
        <f>'Code Home'!C70*0.11</f>
        <v>1637.35</v>
      </c>
      <c r="I71" s="27"/>
      <c r="J71" s="27">
        <f t="shared" si="8"/>
        <v>5988.35</v>
      </c>
      <c r="K71" s="23"/>
      <c r="L71" s="23"/>
      <c r="M71" s="23"/>
      <c r="N71" s="23"/>
      <c r="O71" s="23"/>
      <c r="P71" s="23"/>
      <c r="Q71" s="23"/>
      <c r="R71" s="23"/>
    </row>
    <row r="72" spans="1:18" ht="12.75">
      <c r="A72" s="27">
        <v>3159</v>
      </c>
      <c r="B72" s="27" t="s">
        <v>67</v>
      </c>
      <c r="C72" s="27">
        <f>'Code Home'!C71-'Energy Star Home'!C71</f>
        <v>3389</v>
      </c>
      <c r="D72" s="27">
        <f>'Code Home'!D71-'Energy Star Home'!D71</f>
        <v>230</v>
      </c>
      <c r="E72" s="27">
        <f>'Code Home'!E71-'Energy Star Home'!E71</f>
        <v>225</v>
      </c>
      <c r="F72" s="27">
        <f>'Code Home'!F71-'Energy Star Home'!F71</f>
        <v>974</v>
      </c>
      <c r="G72" s="27"/>
      <c r="H72" s="27">
        <f>'Code Home'!C71*0.11</f>
        <v>1668.15</v>
      </c>
      <c r="I72" s="27"/>
      <c r="J72" s="27">
        <f t="shared" si="8"/>
        <v>6486.15</v>
      </c>
      <c r="K72" s="23"/>
      <c r="L72" s="23"/>
      <c r="M72" s="23"/>
      <c r="N72" s="23"/>
      <c r="O72" s="23"/>
      <c r="P72" s="23"/>
      <c r="Q72" s="23"/>
      <c r="R72" s="23"/>
    </row>
    <row r="73" spans="1:18" ht="12.75">
      <c r="A73" s="27">
        <v>3159</v>
      </c>
      <c r="B73" s="27" t="s">
        <v>68</v>
      </c>
      <c r="C73" s="27">
        <f>'Code Home'!C72-'Energy Star Home'!C72</f>
        <v>4013</v>
      </c>
      <c r="D73" s="27">
        <f>'Code Home'!D72-'Energy Star Home'!D72</f>
        <v>161</v>
      </c>
      <c r="E73" s="27">
        <f>'Code Home'!E72-'Energy Star Home'!E72</f>
        <v>240</v>
      </c>
      <c r="F73" s="27">
        <f>'Code Home'!F72-'Energy Star Home'!F72</f>
        <v>974</v>
      </c>
      <c r="G73" s="27"/>
      <c r="H73" s="27">
        <f>'Code Home'!C72*0.11</f>
        <v>2266.88</v>
      </c>
      <c r="I73" s="27"/>
      <c r="J73" s="27">
        <f t="shared" si="8"/>
        <v>7654.88</v>
      </c>
      <c r="K73" s="23"/>
      <c r="L73" s="23"/>
      <c r="M73" s="23"/>
      <c r="N73" s="23"/>
      <c r="O73" s="23"/>
      <c r="P73" s="23"/>
      <c r="Q73" s="23"/>
      <c r="R73" s="23"/>
    </row>
    <row r="74" spans="1:18" ht="12.75">
      <c r="A74" s="27">
        <v>3159</v>
      </c>
      <c r="B74" s="27" t="s">
        <v>69</v>
      </c>
      <c r="C74" s="27">
        <f>'Code Home'!C73-'Energy Star Home'!C73</f>
        <v>3395</v>
      </c>
      <c r="D74" s="27">
        <f>'Code Home'!D73-'Energy Star Home'!D73</f>
        <v>232</v>
      </c>
      <c r="E74" s="27">
        <f>'Code Home'!E73-'Energy Star Home'!E73</f>
        <v>248</v>
      </c>
      <c r="F74" s="27">
        <f>'Code Home'!F73-'Energy Star Home'!F73</f>
        <v>1302</v>
      </c>
      <c r="G74" s="27"/>
      <c r="H74" s="27">
        <f>'Code Home'!C73*0.11</f>
        <v>3049.53</v>
      </c>
      <c r="I74" s="27"/>
      <c r="J74" s="27">
        <f t="shared" si="8"/>
        <v>8226.53</v>
      </c>
      <c r="K74" s="23"/>
      <c r="L74" s="23"/>
      <c r="M74" s="23"/>
      <c r="N74" s="23"/>
      <c r="O74" s="23"/>
      <c r="P74" s="23"/>
      <c r="Q74" s="23"/>
      <c r="R74" s="23"/>
    </row>
    <row r="75" spans="1:18" ht="12.75">
      <c r="A75" s="27">
        <v>3159</v>
      </c>
      <c r="B75" s="27" t="s">
        <v>70</v>
      </c>
      <c r="C75" s="27">
        <f>'Code Home'!C74-'Energy Star Home'!C74</f>
        <v>3403</v>
      </c>
      <c r="D75" s="27">
        <f>'Code Home'!D74-'Energy Star Home'!D74</f>
        <v>192</v>
      </c>
      <c r="E75" s="27">
        <f>'Code Home'!E74-'Energy Star Home'!E74</f>
        <v>247</v>
      </c>
      <c r="F75" s="27">
        <f>'Code Home'!F74-'Energy Star Home'!F74</f>
        <v>1302</v>
      </c>
      <c r="G75" s="27"/>
      <c r="H75" s="27">
        <f>'Code Home'!C74*0.11</f>
        <v>2696.32</v>
      </c>
      <c r="I75" s="27"/>
      <c r="J75" s="27">
        <f t="shared" si="8"/>
        <v>7840.32</v>
      </c>
      <c r="K75" s="23"/>
      <c r="L75" s="23"/>
      <c r="M75" s="23"/>
      <c r="N75" s="23"/>
      <c r="O75" s="23"/>
      <c r="P75" s="23"/>
      <c r="Q75" s="23"/>
      <c r="R75" s="23"/>
    </row>
    <row r="76" spans="1:18" ht="12.75">
      <c r="A76" s="27">
        <v>3159</v>
      </c>
      <c r="B76" s="27" t="s">
        <v>71</v>
      </c>
      <c r="C76" s="27">
        <f>'Code Home'!C75-'Energy Star Home'!C75</f>
        <v>3028</v>
      </c>
      <c r="D76" s="27">
        <f>'Code Home'!D75-'Energy Star Home'!D75</f>
        <v>285</v>
      </c>
      <c r="E76" s="27">
        <f>'Code Home'!E75-'Energy Star Home'!E75</f>
        <v>239</v>
      </c>
      <c r="F76" s="27">
        <f>'Code Home'!F75-'Energy Star Home'!F75</f>
        <v>1302</v>
      </c>
      <c r="G76" s="27"/>
      <c r="H76" s="27">
        <f>'Code Home'!C75*0.11</f>
        <v>2599.7400000000002</v>
      </c>
      <c r="I76" s="27"/>
      <c r="J76" s="27">
        <f t="shared" si="8"/>
        <v>7453.74</v>
      </c>
      <c r="K76" s="23"/>
      <c r="L76" s="23"/>
      <c r="M76" s="23"/>
      <c r="N76" s="23"/>
      <c r="O76" s="23"/>
      <c r="P76" s="23"/>
      <c r="Q76" s="23"/>
      <c r="R76" s="23"/>
    </row>
  </sheetData>
  <mergeCells count="2">
    <mergeCell ref="A1:R1"/>
    <mergeCell ref="A40:J4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Conservation Services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 Caudill</dc:creator>
  <cp:keywords/>
  <dc:description/>
  <cp:lastModifiedBy>Gery Haddow</cp:lastModifiedBy>
  <cp:lastPrinted>2006-10-23T18:32:54Z</cp:lastPrinted>
  <dcterms:created xsi:type="dcterms:W3CDTF">2006-07-26T21:31:22Z</dcterms:created>
  <dcterms:modified xsi:type="dcterms:W3CDTF">2007-11-27T19:38:30Z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